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" yWindow="0" windowWidth="19260" windowHeight="10395" tabRatio="1000"/>
  </bookViews>
  <sheets>
    <sheet name="Rozpočet podľa FK" sheetId="42" r:id="rId1"/>
    <sheet name="FO" sheetId="49" r:id="rId2"/>
  </sheets>
  <definedNames>
    <definedName name="_xlnm.Print_Titles" localSheetId="0">'Rozpočet podľa FK'!$1:$1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33" i="42" l="1"/>
  <c r="M1233" i="42" l="1"/>
  <c r="L1233" i="42"/>
  <c r="K1233" i="42"/>
  <c r="J1233" i="42"/>
  <c r="I1233" i="42"/>
  <c r="P1231" i="42"/>
  <c r="P1233" i="42" s="1"/>
  <c r="O1231" i="42"/>
  <c r="N1231" i="42"/>
  <c r="N1233" i="42" s="1"/>
  <c r="O1230" i="42"/>
  <c r="O1233" i="42" s="1"/>
  <c r="P1219" i="42" l="1"/>
  <c r="T1219" i="42"/>
  <c r="P1220" i="42"/>
  <c r="T1220" i="42"/>
  <c r="R1222" i="42"/>
  <c r="S1222" i="42"/>
  <c r="P1222" i="42"/>
  <c r="Q1223" i="42"/>
  <c r="R1223" i="42"/>
  <c r="S1223" i="42"/>
  <c r="T1222" i="42"/>
  <c r="R1224" i="42"/>
  <c r="S1224" i="42" l="1"/>
  <c r="I328" i="42"/>
  <c r="J328" i="42"/>
  <c r="K328" i="42"/>
  <c r="L328" i="42"/>
  <c r="M328" i="42"/>
  <c r="N328" i="42"/>
  <c r="H328" i="42"/>
  <c r="I326" i="42"/>
  <c r="J326" i="42"/>
  <c r="K326" i="42"/>
  <c r="M326" i="42"/>
  <c r="N326" i="42"/>
  <c r="H326" i="42"/>
  <c r="N1219" i="42" l="1"/>
  <c r="N980" i="42" l="1"/>
  <c r="M980" i="42"/>
  <c r="K980" i="42"/>
  <c r="J980" i="42"/>
  <c r="I980" i="42"/>
  <c r="H980" i="42"/>
  <c r="P979" i="42"/>
  <c r="O979" i="42"/>
  <c r="P978" i="42"/>
  <c r="O978" i="42"/>
  <c r="P977" i="42"/>
  <c r="O977" i="42"/>
  <c r="L977" i="42"/>
  <c r="P976" i="42"/>
  <c r="O976" i="42"/>
  <c r="L976" i="42"/>
  <c r="N975" i="42"/>
  <c r="M975" i="42"/>
  <c r="K975" i="42"/>
  <c r="J975" i="42"/>
  <c r="I975" i="42"/>
  <c r="H975" i="42"/>
  <c r="P974" i="42"/>
  <c r="P975" i="42" s="1"/>
  <c r="O974" i="42"/>
  <c r="O975" i="42" s="1"/>
  <c r="L974" i="42"/>
  <c r="L975" i="42" s="1"/>
  <c r="N973" i="42"/>
  <c r="M973" i="42"/>
  <c r="L973" i="42"/>
  <c r="K973" i="42"/>
  <c r="J973" i="42"/>
  <c r="I973" i="42"/>
  <c r="H973" i="42"/>
  <c r="P972" i="42"/>
  <c r="O972" i="42"/>
  <c r="P971" i="42"/>
  <c r="O971" i="42"/>
  <c r="P970" i="42"/>
  <c r="O970" i="42"/>
  <c r="P969" i="42"/>
  <c r="O969" i="42"/>
  <c r="P968" i="42"/>
  <c r="O968" i="42"/>
  <c r="P967" i="42"/>
  <c r="O967" i="42"/>
  <c r="P966" i="42"/>
  <c r="O966" i="42"/>
  <c r="P965" i="42"/>
  <c r="O965" i="42"/>
  <c r="P964" i="42"/>
  <c r="O964" i="42"/>
  <c r="P963" i="42"/>
  <c r="O963" i="42"/>
  <c r="O973" i="42" s="1"/>
  <c r="N962" i="42"/>
  <c r="M962" i="42"/>
  <c r="L962" i="42"/>
  <c r="K962" i="42"/>
  <c r="J962" i="42"/>
  <c r="I962" i="42"/>
  <c r="H962" i="42"/>
  <c r="P961" i="42"/>
  <c r="O961" i="42"/>
  <c r="P960" i="42"/>
  <c r="O960" i="42"/>
  <c r="P746" i="42"/>
  <c r="H834" i="42"/>
  <c r="H817" i="42"/>
  <c r="I751" i="42"/>
  <c r="J751" i="42"/>
  <c r="K751" i="42"/>
  <c r="L751" i="42"/>
  <c r="M751" i="42"/>
  <c r="N751" i="42"/>
  <c r="I769" i="42"/>
  <c r="J769" i="42"/>
  <c r="K769" i="42"/>
  <c r="L769" i="42"/>
  <c r="M769" i="42"/>
  <c r="N769" i="42"/>
  <c r="H769" i="42"/>
  <c r="I732" i="42"/>
  <c r="I729" i="42" s="1"/>
  <c r="J732" i="42"/>
  <c r="J729" i="42" s="1"/>
  <c r="K732" i="42"/>
  <c r="K729" i="42" s="1"/>
  <c r="M732" i="42"/>
  <c r="M729" i="42" s="1"/>
  <c r="N732" i="42"/>
  <c r="N729" i="42" s="1"/>
  <c r="H732" i="42"/>
  <c r="H729" i="42" s="1"/>
  <c r="I622" i="42"/>
  <c r="J622" i="42"/>
  <c r="K622" i="42"/>
  <c r="L622" i="42"/>
  <c r="M622" i="42"/>
  <c r="N622" i="42"/>
  <c r="H622" i="42"/>
  <c r="I610" i="42"/>
  <c r="J610" i="42"/>
  <c r="K610" i="42"/>
  <c r="M610" i="42"/>
  <c r="N610" i="42"/>
  <c r="H610" i="42"/>
  <c r="I596" i="42"/>
  <c r="J596" i="42"/>
  <c r="K596" i="42"/>
  <c r="L596" i="42"/>
  <c r="M596" i="42"/>
  <c r="N596" i="42"/>
  <c r="H596" i="42"/>
  <c r="I544" i="42"/>
  <c r="J544" i="42"/>
  <c r="K544" i="42"/>
  <c r="L544" i="42"/>
  <c r="M544" i="42"/>
  <c r="N544" i="42"/>
  <c r="O544" i="42"/>
  <c r="P544" i="42"/>
  <c r="H544" i="42"/>
  <c r="I542" i="42"/>
  <c r="J542" i="42"/>
  <c r="K542" i="42"/>
  <c r="L542" i="42"/>
  <c r="M542" i="42"/>
  <c r="N542" i="42"/>
  <c r="H542" i="42"/>
  <c r="I533" i="42"/>
  <c r="J533" i="42"/>
  <c r="K533" i="42"/>
  <c r="L533" i="42"/>
  <c r="M533" i="42"/>
  <c r="N533" i="42"/>
  <c r="H533" i="42"/>
  <c r="O962" i="42" l="1"/>
  <c r="P973" i="42"/>
  <c r="P962" i="42"/>
  <c r="H536" i="42"/>
  <c r="M536" i="42"/>
  <c r="K536" i="42"/>
  <c r="I536" i="42"/>
  <c r="H981" i="42"/>
  <c r="H959" i="42" s="1"/>
  <c r="J981" i="42"/>
  <c r="J959" i="42" s="1"/>
  <c r="N981" i="42"/>
  <c r="N959" i="42" s="1"/>
  <c r="O980" i="42"/>
  <c r="O981" i="42" s="1"/>
  <c r="O959" i="42" s="1"/>
  <c r="I981" i="42"/>
  <c r="I959" i="42" s="1"/>
  <c r="K981" i="42"/>
  <c r="K959" i="42" s="1"/>
  <c r="M981" i="42"/>
  <c r="M959" i="42" s="1"/>
  <c r="L980" i="42"/>
  <c r="L981" i="42" s="1"/>
  <c r="L959" i="42" s="1"/>
  <c r="P980" i="42"/>
  <c r="P981" i="42" s="1"/>
  <c r="P959" i="42" s="1"/>
  <c r="N536" i="42"/>
  <c r="L536" i="42"/>
  <c r="J536" i="42"/>
  <c r="M6" i="49"/>
  <c r="L6" i="49"/>
  <c r="K6" i="49"/>
  <c r="J6" i="49"/>
  <c r="I6" i="49"/>
  <c r="H6" i="49"/>
  <c r="P4" i="49"/>
  <c r="P6" i="49" s="1"/>
  <c r="O4" i="49"/>
  <c r="N4" i="49"/>
  <c r="N6" i="49" s="1"/>
  <c r="N1220" i="42" s="1"/>
  <c r="O3" i="49"/>
  <c r="O6" i="49" l="1"/>
  <c r="M531" i="42"/>
  <c r="N530" i="42"/>
  <c r="N531" i="42" s="1"/>
  <c r="P915" i="42" l="1"/>
  <c r="O915" i="42"/>
  <c r="P914" i="42"/>
  <c r="O914" i="42"/>
  <c r="P913" i="42"/>
  <c r="O913" i="42"/>
  <c r="P912" i="42"/>
  <c r="O912" i="42"/>
  <c r="P911" i="42"/>
  <c r="O911" i="42"/>
  <c r="P909" i="42"/>
  <c r="O909" i="42"/>
  <c r="P908" i="42"/>
  <c r="O908" i="42"/>
  <c r="P907" i="42"/>
  <c r="O907" i="42"/>
  <c r="P903" i="42"/>
  <c r="O903" i="42"/>
  <c r="P847" i="42"/>
  <c r="O847" i="42"/>
  <c r="P846" i="42"/>
  <c r="O846" i="42"/>
  <c r="P839" i="42"/>
  <c r="O839" i="42"/>
  <c r="P816" i="42"/>
  <c r="O816" i="42"/>
  <c r="P815" i="42"/>
  <c r="O815" i="42"/>
  <c r="P704" i="42" l="1"/>
  <c r="O704" i="42"/>
  <c r="P703" i="42"/>
  <c r="O703" i="42"/>
  <c r="P702" i="42"/>
  <c r="O702" i="42"/>
  <c r="P701" i="42"/>
  <c r="O701" i="42"/>
  <c r="P700" i="42"/>
  <c r="O700" i="42"/>
  <c r="P699" i="42"/>
  <c r="O699" i="42"/>
  <c r="P698" i="42"/>
  <c r="O698" i="42"/>
  <c r="P697" i="42"/>
  <c r="O697" i="42"/>
  <c r="P696" i="42"/>
  <c r="O696" i="42"/>
  <c r="P695" i="42"/>
  <c r="O695" i="42"/>
  <c r="P694" i="42"/>
  <c r="O694" i="42"/>
  <c r="P693" i="42"/>
  <c r="O693" i="42"/>
  <c r="P692" i="42"/>
  <c r="O692" i="42"/>
  <c r="P691" i="42"/>
  <c r="O691" i="42"/>
  <c r="P690" i="42"/>
  <c r="O690" i="42"/>
  <c r="P689" i="42"/>
  <c r="O689" i="42"/>
  <c r="P688" i="42"/>
  <c r="O688" i="42"/>
  <c r="P687" i="42"/>
  <c r="O687" i="42"/>
  <c r="P686" i="42"/>
  <c r="O686" i="42"/>
  <c r="P685" i="42"/>
  <c r="O685" i="42"/>
  <c r="P684" i="42"/>
  <c r="O684" i="42"/>
  <c r="P683" i="42"/>
  <c r="O683" i="42"/>
  <c r="P682" i="42"/>
  <c r="O682" i="42"/>
  <c r="P681" i="42"/>
  <c r="O681" i="42"/>
  <c r="P680" i="42"/>
  <c r="O680" i="42"/>
  <c r="P211" i="42"/>
  <c r="P210" i="42"/>
  <c r="O210" i="42"/>
  <c r="P209" i="42"/>
  <c r="O209" i="42"/>
  <c r="L209" i="42"/>
  <c r="P208" i="42"/>
  <c r="O208" i="42"/>
  <c r="P207" i="42"/>
  <c r="O207" i="42"/>
  <c r="P206" i="42"/>
  <c r="O206" i="42"/>
  <c r="P205" i="42"/>
  <c r="O205" i="42"/>
  <c r="P204" i="42"/>
  <c r="O204" i="42"/>
  <c r="P203" i="42"/>
  <c r="O203" i="42"/>
  <c r="P202" i="42"/>
  <c r="O202" i="42"/>
  <c r="P201" i="42"/>
  <c r="O201" i="42"/>
  <c r="P200" i="42"/>
  <c r="O200" i="42"/>
  <c r="P199" i="42"/>
  <c r="O199" i="42"/>
  <c r="P198" i="42"/>
  <c r="O198" i="42"/>
  <c r="P116" i="42"/>
  <c r="O116" i="42"/>
  <c r="L116" i="42"/>
  <c r="P115" i="42"/>
  <c r="O115" i="42"/>
  <c r="L594" i="42" l="1"/>
  <c r="L578" i="42" s="1"/>
  <c r="K594" i="42"/>
  <c r="K578" i="42" s="1"/>
  <c r="M594" i="42"/>
  <c r="M578" i="42" s="1"/>
  <c r="N594" i="42"/>
  <c r="N578" i="42" s="1"/>
  <c r="J594" i="42"/>
  <c r="J578" i="42" s="1"/>
  <c r="L956" i="42"/>
  <c r="N1100" i="42"/>
  <c r="I594" i="42"/>
  <c r="I578" i="42" s="1"/>
  <c r="I886" i="42" l="1"/>
  <c r="P1213" i="42"/>
  <c r="P1204" i="42" s="1"/>
  <c r="O1213" i="42"/>
  <c r="O1204" i="42" s="1"/>
  <c r="N1213" i="42"/>
  <c r="N1204" i="42" s="1"/>
  <c r="M1213" i="42"/>
  <c r="M1204" i="42" s="1"/>
  <c r="L1213" i="42"/>
  <c r="L1204" i="42" s="1"/>
  <c r="K1213" i="42"/>
  <c r="K1204" i="42" s="1"/>
  <c r="J1213" i="42"/>
  <c r="J1204" i="42" s="1"/>
  <c r="I1213" i="42"/>
  <c r="I1204" i="42" s="1"/>
  <c r="H1213" i="42"/>
  <c r="H1204" i="42" s="1"/>
  <c r="O1192" i="42"/>
  <c r="P1202" i="42"/>
  <c r="P1192" i="42" s="1"/>
  <c r="N1202" i="42"/>
  <c r="N1192" i="42" s="1"/>
  <c r="M1202" i="42"/>
  <c r="L1202" i="42"/>
  <c r="L1192" i="42" s="1"/>
  <c r="K1202" i="42"/>
  <c r="J1202" i="42"/>
  <c r="J1192" i="42" s="1"/>
  <c r="I1202" i="42"/>
  <c r="I1192" i="42" s="1"/>
  <c r="H1202" i="42"/>
  <c r="H1192" i="42" s="1"/>
  <c r="J1191" i="42"/>
  <c r="J1181" i="42" s="1"/>
  <c r="K1191" i="42"/>
  <c r="L1191" i="42"/>
  <c r="L1181" i="42" s="1"/>
  <c r="M1191" i="42"/>
  <c r="N1191" i="42"/>
  <c r="N1181" i="42" s="1"/>
  <c r="O1191" i="42"/>
  <c r="P1191" i="42"/>
  <c r="H1191" i="42"/>
  <c r="H1181" i="42" s="1"/>
  <c r="P1181" i="42"/>
  <c r="O1181" i="42"/>
  <c r="M1181" i="42"/>
  <c r="K1181" i="42"/>
  <c r="I1181" i="42"/>
  <c r="P1180" i="42"/>
  <c r="P1171" i="42" s="1"/>
  <c r="O1180" i="42"/>
  <c r="N1180" i="42"/>
  <c r="N1171" i="42" s="1"/>
  <c r="L1180" i="42"/>
  <c r="L1171" i="42" s="1"/>
  <c r="J1180" i="42"/>
  <c r="J1171" i="42" s="1"/>
  <c r="I1180" i="42"/>
  <c r="I1171" i="42" s="1"/>
  <c r="H1180" i="42"/>
  <c r="H1171" i="42" s="1"/>
  <c r="M1180" i="42"/>
  <c r="M1171" i="42" s="1"/>
  <c r="K1180" i="42"/>
  <c r="K1171" i="42" s="1"/>
  <c r="O1171" i="42"/>
  <c r="L1170" i="42"/>
  <c r="L1160" i="42" s="1"/>
  <c r="P1170" i="42"/>
  <c r="O1170" i="42"/>
  <c r="O1160" i="42" s="1"/>
  <c r="N1170" i="42"/>
  <c r="N1160" i="42" s="1"/>
  <c r="M1170" i="42"/>
  <c r="M1160" i="42" s="1"/>
  <c r="K1170" i="42"/>
  <c r="K1160" i="42" s="1"/>
  <c r="J1170" i="42"/>
  <c r="J1160" i="42" s="1"/>
  <c r="I1170" i="42"/>
  <c r="I1160" i="42" s="1"/>
  <c r="H1170" i="42"/>
  <c r="H1160" i="42" s="1"/>
  <c r="P1160" i="42"/>
  <c r="K1158" i="42"/>
  <c r="K1146" i="42" s="1"/>
  <c r="L1158" i="42"/>
  <c r="L1146" i="42" s="1"/>
  <c r="M1158" i="42"/>
  <c r="M1146" i="42" s="1"/>
  <c r="N1158" i="42"/>
  <c r="N1146" i="42" s="1"/>
  <c r="O1158" i="42"/>
  <c r="O1146" i="42" s="1"/>
  <c r="P1158" i="42"/>
  <c r="P1146" i="42" s="1"/>
  <c r="J1158" i="42"/>
  <c r="J1146" i="42" s="1"/>
  <c r="I1146" i="42"/>
  <c r="H1158" i="42"/>
  <c r="H1146" i="42" s="1"/>
  <c r="P1145" i="42"/>
  <c r="P1136" i="42" s="1"/>
  <c r="O1145" i="42"/>
  <c r="O1136" i="42" s="1"/>
  <c r="N1145" i="42"/>
  <c r="N1136" i="42" s="1"/>
  <c r="M1145" i="42"/>
  <c r="M1136" i="42" s="1"/>
  <c r="L1145" i="42"/>
  <c r="L1136" i="42" s="1"/>
  <c r="K1145" i="42"/>
  <c r="K1136" i="42" s="1"/>
  <c r="J1145" i="42"/>
  <c r="J1136" i="42" s="1"/>
  <c r="I1145" i="42"/>
  <c r="I1136" i="42" s="1"/>
  <c r="H1145" i="42"/>
  <c r="H1136" i="42" s="1"/>
  <c r="P1135" i="42"/>
  <c r="P1126" i="42" s="1"/>
  <c r="O1135" i="42"/>
  <c r="O1126" i="42" s="1"/>
  <c r="N1135" i="42"/>
  <c r="N1126" i="42" s="1"/>
  <c r="M1135" i="42"/>
  <c r="M1126" i="42" s="1"/>
  <c r="L1135" i="42"/>
  <c r="L1126" i="42" s="1"/>
  <c r="K1135" i="42"/>
  <c r="K1126" i="42" s="1"/>
  <c r="J1135" i="42"/>
  <c r="J1126" i="42" s="1"/>
  <c r="I1135" i="42"/>
  <c r="I1126" i="42" s="1"/>
  <c r="H1135" i="42"/>
  <c r="H1126" i="42" s="1"/>
  <c r="N1125" i="42"/>
  <c r="N1118" i="42" s="1"/>
  <c r="I1125" i="42"/>
  <c r="I1118" i="42" s="1"/>
  <c r="J1125" i="42"/>
  <c r="J1118" i="42" s="1"/>
  <c r="K1125" i="42"/>
  <c r="K1118" i="42" s="1"/>
  <c r="L1125" i="42"/>
  <c r="L1118" i="42" s="1"/>
  <c r="M1125" i="42"/>
  <c r="M1118" i="42" s="1"/>
  <c r="O1125" i="42"/>
  <c r="O1118" i="42" s="1"/>
  <c r="P1125" i="42"/>
  <c r="P1118" i="42" s="1"/>
  <c r="H1125" i="42"/>
  <c r="H1118" i="42" s="1"/>
  <c r="I1117" i="42"/>
  <c r="I1108" i="42" s="1"/>
  <c r="J1117" i="42"/>
  <c r="J1108" i="42" s="1"/>
  <c r="K1117" i="42"/>
  <c r="K1108" i="42" s="1"/>
  <c r="L1117" i="42"/>
  <c r="L1108" i="42" s="1"/>
  <c r="M1117" i="42"/>
  <c r="M1108" i="42" s="1"/>
  <c r="N1117" i="42"/>
  <c r="N1108" i="42" s="1"/>
  <c r="O1117" i="42"/>
  <c r="O1108" i="42" s="1"/>
  <c r="P1117" i="42"/>
  <c r="P1108" i="42" s="1"/>
  <c r="H1117" i="42"/>
  <c r="H1108" i="42" s="1"/>
  <c r="J1100" i="42"/>
  <c r="K1100" i="42"/>
  <c r="L1100" i="42"/>
  <c r="M1100" i="42"/>
  <c r="J1047" i="42"/>
  <c r="K1047" i="42"/>
  <c r="M1047" i="42"/>
  <c r="N1047" i="42"/>
  <c r="I982" i="42"/>
  <c r="J982" i="42"/>
  <c r="K982" i="42"/>
  <c r="L982" i="42"/>
  <c r="M982" i="42"/>
  <c r="N982" i="42"/>
  <c r="J957" i="42"/>
  <c r="K957" i="42"/>
  <c r="M957" i="42"/>
  <c r="N957" i="42"/>
  <c r="I951" i="42"/>
  <c r="J951" i="42"/>
  <c r="K951" i="42"/>
  <c r="L951" i="42"/>
  <c r="M951" i="42"/>
  <c r="N951" i="42"/>
  <c r="H951" i="42"/>
  <c r="I944" i="42"/>
  <c r="J944" i="42"/>
  <c r="K944" i="42"/>
  <c r="L944" i="42"/>
  <c r="M944" i="42"/>
  <c r="N944" i="42"/>
  <c r="H944" i="42"/>
  <c r="I939" i="42"/>
  <c r="J939" i="42"/>
  <c r="K939" i="42"/>
  <c r="L939" i="42"/>
  <c r="M939" i="42"/>
  <c r="N939" i="42"/>
  <c r="H939" i="42"/>
  <c r="J936" i="42"/>
  <c r="K936" i="42"/>
  <c r="L936" i="42"/>
  <c r="M936" i="42"/>
  <c r="N936" i="42"/>
  <c r="H936" i="42"/>
  <c r="I927" i="42"/>
  <c r="J927" i="42"/>
  <c r="K927" i="42"/>
  <c r="L927" i="42"/>
  <c r="M927" i="42"/>
  <c r="N927" i="42"/>
  <c r="H927" i="42"/>
  <c r="H957" i="42"/>
  <c r="I922" i="42"/>
  <c r="J922" i="42"/>
  <c r="K922" i="42"/>
  <c r="L922" i="42"/>
  <c r="M922" i="42"/>
  <c r="N922" i="42"/>
  <c r="H922" i="42"/>
  <c r="I918" i="42"/>
  <c r="J918" i="42"/>
  <c r="K918" i="42"/>
  <c r="L918" i="42"/>
  <c r="M918" i="42"/>
  <c r="N918" i="42"/>
  <c r="H918" i="42"/>
  <c r="I916" i="42"/>
  <c r="J916" i="42"/>
  <c r="K916" i="42"/>
  <c r="M916" i="42"/>
  <c r="N916" i="42"/>
  <c r="H916" i="42"/>
  <c r="I910" i="42"/>
  <c r="J910" i="42"/>
  <c r="K910" i="42"/>
  <c r="M910" i="42"/>
  <c r="N910" i="42"/>
  <c r="H910" i="42"/>
  <c r="I906" i="42"/>
  <c r="J906" i="42"/>
  <c r="K906" i="42"/>
  <c r="M906" i="42"/>
  <c r="N906" i="42"/>
  <c r="I894" i="42"/>
  <c r="J894" i="42"/>
  <c r="K894" i="42"/>
  <c r="M894" i="42"/>
  <c r="N894" i="42"/>
  <c r="H894" i="42"/>
  <c r="I888" i="42"/>
  <c r="J888" i="42"/>
  <c r="K888" i="42"/>
  <c r="M888" i="42"/>
  <c r="N888" i="42"/>
  <c r="H888" i="42"/>
  <c r="J886" i="42"/>
  <c r="K886" i="42"/>
  <c r="L886" i="42"/>
  <c r="M886" i="42"/>
  <c r="N886" i="42"/>
  <c r="H886" i="42"/>
  <c r="I877" i="42"/>
  <c r="J877" i="42"/>
  <c r="K877" i="42"/>
  <c r="L877" i="42"/>
  <c r="M877" i="42"/>
  <c r="N877" i="42"/>
  <c r="H877" i="42"/>
  <c r="I869" i="42"/>
  <c r="J869" i="42"/>
  <c r="K869" i="42"/>
  <c r="L869" i="42"/>
  <c r="M869" i="42"/>
  <c r="N869" i="42"/>
  <c r="H869" i="42"/>
  <c r="P872" i="42"/>
  <c r="O872" i="42"/>
  <c r="P871" i="42"/>
  <c r="O871" i="42"/>
  <c r="P870" i="42"/>
  <c r="O870" i="42"/>
  <c r="I866" i="42"/>
  <c r="J866" i="42"/>
  <c r="K866" i="42"/>
  <c r="L866" i="42"/>
  <c r="M866" i="42"/>
  <c r="N866" i="42"/>
  <c r="I857" i="42"/>
  <c r="J857" i="42"/>
  <c r="K857" i="42"/>
  <c r="L857" i="42"/>
  <c r="M857" i="42"/>
  <c r="N857" i="42"/>
  <c r="J852" i="42"/>
  <c r="K852" i="42"/>
  <c r="L852" i="42"/>
  <c r="M852" i="42"/>
  <c r="N852" i="42"/>
  <c r="I842" i="42"/>
  <c r="J842" i="42"/>
  <c r="K842" i="42"/>
  <c r="L842" i="42"/>
  <c r="M842" i="42"/>
  <c r="N842" i="42"/>
  <c r="H842" i="42"/>
  <c r="I837" i="42"/>
  <c r="J837" i="42"/>
  <c r="K837" i="42"/>
  <c r="L837" i="42"/>
  <c r="M837" i="42"/>
  <c r="N837" i="42"/>
  <c r="H837" i="42"/>
  <c r="I834" i="42"/>
  <c r="J834" i="42"/>
  <c r="K834" i="42"/>
  <c r="L834" i="42"/>
  <c r="M834" i="42"/>
  <c r="N834" i="42"/>
  <c r="I817" i="42"/>
  <c r="J817" i="42"/>
  <c r="K817" i="42"/>
  <c r="L817" i="42"/>
  <c r="M817" i="42"/>
  <c r="N817" i="42"/>
  <c r="H866" i="42"/>
  <c r="H857" i="42"/>
  <c r="I812" i="42"/>
  <c r="J812" i="42"/>
  <c r="K812" i="42"/>
  <c r="M812" i="42"/>
  <c r="N812" i="42"/>
  <c r="I803" i="42"/>
  <c r="J803" i="42"/>
  <c r="K803" i="42"/>
  <c r="M803" i="42"/>
  <c r="N803" i="42"/>
  <c r="I798" i="42"/>
  <c r="J798" i="42"/>
  <c r="K798" i="42"/>
  <c r="M798" i="42"/>
  <c r="N798" i="42"/>
  <c r="I795" i="42"/>
  <c r="J795" i="42"/>
  <c r="K795" i="42"/>
  <c r="M795" i="42"/>
  <c r="N795" i="42"/>
  <c r="H795" i="42"/>
  <c r="I779" i="42"/>
  <c r="J779" i="42"/>
  <c r="K779" i="42"/>
  <c r="M779" i="42"/>
  <c r="N779" i="42"/>
  <c r="H779" i="42"/>
  <c r="I771" i="42"/>
  <c r="J771" i="42"/>
  <c r="K771" i="42"/>
  <c r="M771" i="42"/>
  <c r="N771" i="42"/>
  <c r="H771" i="42"/>
  <c r="H751" i="42"/>
  <c r="H798" i="42"/>
  <c r="I726" i="42"/>
  <c r="J726" i="42"/>
  <c r="K726" i="42"/>
  <c r="L726" i="42"/>
  <c r="M726" i="42"/>
  <c r="N726" i="42"/>
  <c r="I678" i="42"/>
  <c r="J678" i="42"/>
  <c r="K678" i="42"/>
  <c r="M678" i="42"/>
  <c r="N678" i="42"/>
  <c r="H678" i="42"/>
  <c r="I666" i="42"/>
  <c r="J666" i="42"/>
  <c r="K666" i="42"/>
  <c r="M666" i="42"/>
  <c r="N666" i="42"/>
  <c r="H666" i="42"/>
  <c r="I663" i="42"/>
  <c r="J663" i="42"/>
  <c r="K663" i="42"/>
  <c r="M663" i="42"/>
  <c r="N663" i="42"/>
  <c r="H663" i="42"/>
  <c r="I657" i="42"/>
  <c r="J657" i="42"/>
  <c r="K657" i="42"/>
  <c r="M657" i="42"/>
  <c r="N657" i="42"/>
  <c r="H657" i="42"/>
  <c r="I652" i="42"/>
  <c r="J652" i="42"/>
  <c r="K652" i="42"/>
  <c r="M652" i="42"/>
  <c r="N652" i="42"/>
  <c r="H652" i="42"/>
  <c r="I642" i="42"/>
  <c r="J642" i="42"/>
  <c r="K642" i="42"/>
  <c r="M642" i="42"/>
  <c r="N642" i="42"/>
  <c r="H642" i="42"/>
  <c r="P641" i="42"/>
  <c r="P642" i="42" s="1"/>
  <c r="O641" i="42"/>
  <c r="O642" i="42" s="1"/>
  <c r="L641" i="42"/>
  <c r="L642" i="42" s="1"/>
  <c r="P640" i="42"/>
  <c r="O640" i="42"/>
  <c r="P639" i="42"/>
  <c r="O639" i="42"/>
  <c r="N638" i="42"/>
  <c r="M638" i="42"/>
  <c r="K638" i="42"/>
  <c r="J638" i="42"/>
  <c r="I638" i="42"/>
  <c r="H638" i="42"/>
  <c r="P637" i="42"/>
  <c r="O637" i="42"/>
  <c r="L637" i="42"/>
  <c r="P636" i="42"/>
  <c r="O636" i="42"/>
  <c r="P635" i="42"/>
  <c r="O635" i="42"/>
  <c r="L635" i="42"/>
  <c r="P634" i="42"/>
  <c r="O634" i="42"/>
  <c r="L634" i="42"/>
  <c r="P633" i="42"/>
  <c r="O633" i="42"/>
  <c r="L633" i="42"/>
  <c r="P632" i="42"/>
  <c r="O632" i="42"/>
  <c r="L632" i="42"/>
  <c r="P631" i="42"/>
  <c r="O631" i="42"/>
  <c r="L631" i="42"/>
  <c r="P630" i="42"/>
  <c r="O630" i="42"/>
  <c r="L630" i="42"/>
  <c r="P629" i="42"/>
  <c r="O629" i="42"/>
  <c r="L629" i="42"/>
  <c r="P628" i="42"/>
  <c r="O628" i="42"/>
  <c r="L628" i="42"/>
  <c r="P627" i="42"/>
  <c r="O627" i="42"/>
  <c r="L627" i="42"/>
  <c r="P626" i="42"/>
  <c r="O626" i="42"/>
  <c r="L626" i="42"/>
  <c r="P625" i="42"/>
  <c r="O625" i="42"/>
  <c r="L625" i="42"/>
  <c r="P624" i="42"/>
  <c r="O624" i="42"/>
  <c r="L624" i="42"/>
  <c r="I615" i="42"/>
  <c r="J615" i="42"/>
  <c r="K615" i="42"/>
  <c r="L615" i="42"/>
  <c r="M615" i="42"/>
  <c r="N615" i="42"/>
  <c r="H615" i="42"/>
  <c r="I613" i="42"/>
  <c r="J613" i="42"/>
  <c r="K613" i="42"/>
  <c r="L613" i="42"/>
  <c r="M613" i="42"/>
  <c r="N613" i="42"/>
  <c r="H613" i="42"/>
  <c r="I608" i="42"/>
  <c r="J608" i="42"/>
  <c r="K608" i="42"/>
  <c r="L608" i="42"/>
  <c r="M608" i="42"/>
  <c r="N608" i="42"/>
  <c r="H608" i="42"/>
  <c r="P1044" i="42"/>
  <c r="O1044" i="42"/>
  <c r="I288" i="42"/>
  <c r="O237" i="42"/>
  <c r="P237" i="42"/>
  <c r="O238" i="42"/>
  <c r="P238" i="42"/>
  <c r="O239" i="42"/>
  <c r="P239" i="42"/>
  <c r="O240" i="42"/>
  <c r="P240" i="42"/>
  <c r="O241" i="42"/>
  <c r="P241" i="42"/>
  <c r="O242" i="42"/>
  <c r="P242" i="42"/>
  <c r="M600" i="42" l="1"/>
  <c r="I600" i="42"/>
  <c r="H600" i="42"/>
  <c r="K600" i="42"/>
  <c r="N679" i="42"/>
  <c r="M679" i="42"/>
  <c r="N600" i="42"/>
  <c r="J600" i="42"/>
  <c r="H679" i="42"/>
  <c r="M1159" i="42"/>
  <c r="O1159" i="42"/>
  <c r="I1159" i="42"/>
  <c r="K1159" i="42"/>
  <c r="N1159" i="42"/>
  <c r="N867" i="42"/>
  <c r="L867" i="42"/>
  <c r="J867" i="42"/>
  <c r="P1159" i="42"/>
  <c r="H1159" i="42"/>
  <c r="J1159" i="42"/>
  <c r="L1159" i="42"/>
  <c r="M1192" i="42"/>
  <c r="K1192" i="42"/>
  <c r="J1107" i="42"/>
  <c r="P1107" i="42"/>
  <c r="H1107" i="42"/>
  <c r="M1107" i="42"/>
  <c r="K1107" i="42"/>
  <c r="I1107" i="42"/>
  <c r="O1107" i="42"/>
  <c r="N1107" i="42"/>
  <c r="L1107" i="42"/>
  <c r="O638" i="42"/>
  <c r="H958" i="42"/>
  <c r="H924" i="42" s="1"/>
  <c r="M958" i="42"/>
  <c r="M924" i="42" s="1"/>
  <c r="K958" i="42"/>
  <c r="K924" i="42" s="1"/>
  <c r="L638" i="42"/>
  <c r="P869" i="42"/>
  <c r="O869" i="42"/>
  <c r="N958" i="42"/>
  <c r="N924" i="42" s="1"/>
  <c r="J958" i="42"/>
  <c r="J924" i="42" s="1"/>
  <c r="H917" i="42"/>
  <c r="H874" i="42" s="1"/>
  <c r="M917" i="42"/>
  <c r="M874" i="42" s="1"/>
  <c r="K917" i="42"/>
  <c r="K874" i="42" s="1"/>
  <c r="N917" i="42"/>
  <c r="N874" i="42" s="1"/>
  <c r="J917" i="42"/>
  <c r="J874" i="42" s="1"/>
  <c r="M867" i="42"/>
  <c r="K867" i="42"/>
  <c r="P638" i="42"/>
  <c r="K813" i="42"/>
  <c r="K747" i="42" s="1"/>
  <c r="I813" i="42"/>
  <c r="M813" i="42"/>
  <c r="N813" i="42"/>
  <c r="J813" i="42"/>
  <c r="J747" i="42" s="1"/>
  <c r="K679" i="42"/>
  <c r="I679" i="42"/>
  <c r="J679" i="42"/>
  <c r="P1103" i="42"/>
  <c r="O1103" i="42"/>
  <c r="P1102" i="42"/>
  <c r="O1102" i="42"/>
  <c r="P1101" i="42"/>
  <c r="O1101" i="42"/>
  <c r="P1099" i="42"/>
  <c r="O1099" i="42"/>
  <c r="P1098" i="42"/>
  <c r="O1098" i="42"/>
  <c r="P1097" i="42"/>
  <c r="O1097" i="42"/>
  <c r="P1096" i="42"/>
  <c r="O1096" i="42"/>
  <c r="P1095" i="42"/>
  <c r="O1095" i="42"/>
  <c r="P1094" i="42"/>
  <c r="O1094" i="42"/>
  <c r="P1093" i="42"/>
  <c r="O1093" i="42"/>
  <c r="P1092" i="42"/>
  <c r="O1092" i="42"/>
  <c r="P1090" i="42"/>
  <c r="O1090" i="42"/>
  <c r="P1089" i="42"/>
  <c r="O1089" i="42"/>
  <c r="P1088" i="42"/>
  <c r="O1088" i="42"/>
  <c r="P1087" i="42"/>
  <c r="O1087" i="42"/>
  <c r="P1085" i="42"/>
  <c r="O1085" i="42"/>
  <c r="P1084" i="42"/>
  <c r="O1084" i="42"/>
  <c r="P1083" i="42"/>
  <c r="O1083" i="42"/>
  <c r="P1082" i="42"/>
  <c r="O1082" i="42"/>
  <c r="P1081" i="42"/>
  <c r="O1081" i="42"/>
  <c r="P1080" i="42"/>
  <c r="O1080" i="42"/>
  <c r="P1079" i="42"/>
  <c r="O1079" i="42"/>
  <c r="H1079" i="42"/>
  <c r="P1078" i="42"/>
  <c r="O1078" i="42"/>
  <c r="H1078" i="42"/>
  <c r="P1077" i="42"/>
  <c r="O1077" i="42"/>
  <c r="H1077" i="42"/>
  <c r="P1076" i="42"/>
  <c r="O1076" i="42"/>
  <c r="H1076" i="42"/>
  <c r="P1075" i="42"/>
  <c r="O1075" i="42"/>
  <c r="H1075" i="42"/>
  <c r="P1074" i="42"/>
  <c r="O1074" i="42"/>
  <c r="H1074" i="42"/>
  <c r="P1073" i="42"/>
  <c r="O1073" i="42"/>
  <c r="H1073" i="42"/>
  <c r="P1072" i="42"/>
  <c r="O1072" i="42"/>
  <c r="H1072" i="42"/>
  <c r="P1071" i="42"/>
  <c r="O1071" i="42"/>
  <c r="H1071" i="42"/>
  <c r="P1070" i="42"/>
  <c r="O1070" i="42"/>
  <c r="H1070" i="42"/>
  <c r="P1069" i="42"/>
  <c r="O1069" i="42"/>
  <c r="H1069" i="42"/>
  <c r="P1068" i="42"/>
  <c r="O1068" i="42"/>
  <c r="H1068" i="42"/>
  <c r="P1067" i="42"/>
  <c r="O1067" i="42"/>
  <c r="H1067" i="42"/>
  <c r="P1066" i="42"/>
  <c r="O1066" i="42"/>
  <c r="H1066" i="42"/>
  <c r="P1065" i="42"/>
  <c r="O1065" i="42"/>
  <c r="H1065" i="42"/>
  <c r="P1064" i="42"/>
  <c r="O1064" i="42"/>
  <c r="H1064" i="42"/>
  <c r="P1063" i="42"/>
  <c r="O1063" i="42"/>
  <c r="H1063" i="42"/>
  <c r="P1062" i="42"/>
  <c r="O1062" i="42"/>
  <c r="H1062" i="42"/>
  <c r="P1061" i="42"/>
  <c r="O1061" i="42"/>
  <c r="P1060" i="42"/>
  <c r="O1060" i="42"/>
  <c r="H1060" i="42"/>
  <c r="P1059" i="42"/>
  <c r="O1059" i="42"/>
  <c r="I1059" i="42"/>
  <c r="H1059" i="42"/>
  <c r="N1058" i="42"/>
  <c r="N1009" i="42" s="1"/>
  <c r="M1058" i="42"/>
  <c r="M1009" i="42" s="1"/>
  <c r="L1058" i="42"/>
  <c r="K1058" i="42"/>
  <c r="K1009" i="42" s="1"/>
  <c r="J1058" i="42"/>
  <c r="J1009" i="42" s="1"/>
  <c r="I1058" i="42"/>
  <c r="H1058" i="42"/>
  <c r="H1009" i="42" s="1"/>
  <c r="P1057" i="42"/>
  <c r="O1057" i="42"/>
  <c r="P1056" i="42"/>
  <c r="O1056" i="42"/>
  <c r="P1055" i="42"/>
  <c r="O1055" i="42"/>
  <c r="P1054" i="42"/>
  <c r="O1054" i="42"/>
  <c r="P1053" i="42"/>
  <c r="O1053" i="42"/>
  <c r="P1052" i="42"/>
  <c r="O1052" i="42"/>
  <c r="P1051" i="42"/>
  <c r="O1051" i="42"/>
  <c r="P1050" i="42"/>
  <c r="O1050" i="42"/>
  <c r="P1049" i="42"/>
  <c r="O1049" i="42"/>
  <c r="P1048" i="42"/>
  <c r="O1048" i="42"/>
  <c r="P1046" i="42"/>
  <c r="O1046" i="42"/>
  <c r="L1046" i="42"/>
  <c r="P1045" i="42"/>
  <c r="O1045" i="42"/>
  <c r="L1045" i="42"/>
  <c r="P1043" i="42"/>
  <c r="O1043" i="42"/>
  <c r="L1043" i="42"/>
  <c r="P1042" i="42"/>
  <c r="O1042" i="42"/>
  <c r="L1042" i="42"/>
  <c r="P1041" i="42"/>
  <c r="O1041" i="42"/>
  <c r="L1041" i="42"/>
  <c r="P1040" i="42"/>
  <c r="O1040" i="42"/>
  <c r="L1040" i="42"/>
  <c r="P1039" i="42"/>
  <c r="O1039" i="42"/>
  <c r="L1039" i="42"/>
  <c r="P1038" i="42"/>
  <c r="O1038" i="42"/>
  <c r="L1038" i="42"/>
  <c r="P1037" i="42"/>
  <c r="O1037" i="42"/>
  <c r="L1037" i="42"/>
  <c r="P1036" i="42"/>
  <c r="O1036" i="42"/>
  <c r="L1036" i="42"/>
  <c r="P1035" i="42"/>
  <c r="O1035" i="42"/>
  <c r="L1035" i="42"/>
  <c r="P1034" i="42"/>
  <c r="O1034" i="42"/>
  <c r="L1034" i="42"/>
  <c r="P1033" i="42"/>
  <c r="O1033" i="42"/>
  <c r="L1033" i="42"/>
  <c r="P1032" i="42"/>
  <c r="O1032" i="42"/>
  <c r="L1032" i="42"/>
  <c r="P1031" i="42"/>
  <c r="O1031" i="42"/>
  <c r="L1031" i="42"/>
  <c r="P1030" i="42"/>
  <c r="O1030" i="42"/>
  <c r="L1030" i="42"/>
  <c r="P1029" i="42"/>
  <c r="O1029" i="42"/>
  <c r="L1029" i="42"/>
  <c r="H1029" i="42"/>
  <c r="P1028" i="42"/>
  <c r="O1028" i="42"/>
  <c r="L1028" i="42"/>
  <c r="H1028" i="42"/>
  <c r="P1027" i="42"/>
  <c r="O1027" i="42"/>
  <c r="L1027" i="42"/>
  <c r="H1027" i="42"/>
  <c r="P1026" i="42"/>
  <c r="O1026" i="42"/>
  <c r="L1026" i="42"/>
  <c r="H1026" i="42"/>
  <c r="P1025" i="42"/>
  <c r="O1025" i="42"/>
  <c r="L1025" i="42"/>
  <c r="H1025" i="42"/>
  <c r="P1024" i="42"/>
  <c r="O1024" i="42"/>
  <c r="L1024" i="42"/>
  <c r="H1024" i="42"/>
  <c r="P1023" i="42"/>
  <c r="O1023" i="42"/>
  <c r="L1023" i="42"/>
  <c r="H1023" i="42"/>
  <c r="P1022" i="42"/>
  <c r="O1022" i="42"/>
  <c r="L1022" i="42"/>
  <c r="H1022" i="42"/>
  <c r="P1021" i="42"/>
  <c r="O1021" i="42"/>
  <c r="L1021" i="42"/>
  <c r="H1021" i="42"/>
  <c r="P1020" i="42"/>
  <c r="O1020" i="42"/>
  <c r="L1020" i="42"/>
  <c r="H1020" i="42"/>
  <c r="P1019" i="42"/>
  <c r="O1019" i="42"/>
  <c r="L1019" i="42"/>
  <c r="H1019" i="42"/>
  <c r="P1018" i="42"/>
  <c r="O1018" i="42"/>
  <c r="L1018" i="42"/>
  <c r="H1018" i="42"/>
  <c r="P1017" i="42"/>
  <c r="O1017" i="42"/>
  <c r="L1017" i="42"/>
  <c r="H1017" i="42"/>
  <c r="P1016" i="42"/>
  <c r="O1016" i="42"/>
  <c r="L1016" i="42"/>
  <c r="H1016" i="42"/>
  <c r="P1015" i="42"/>
  <c r="O1015" i="42"/>
  <c r="L1015" i="42"/>
  <c r="H1015" i="42"/>
  <c r="P1014" i="42"/>
  <c r="O1014" i="42"/>
  <c r="L1014" i="42"/>
  <c r="H1014" i="42"/>
  <c r="P1013" i="42"/>
  <c r="O1013" i="42"/>
  <c r="L1013" i="42"/>
  <c r="I1013" i="42"/>
  <c r="I1047" i="42" s="1"/>
  <c r="P1012" i="42"/>
  <c r="O1012" i="42"/>
  <c r="L1012" i="42"/>
  <c r="H1012" i="42"/>
  <c r="P1011" i="42"/>
  <c r="O1011" i="42"/>
  <c r="L1011" i="42"/>
  <c r="H1011" i="42"/>
  <c r="P1010" i="42"/>
  <c r="O1010" i="42"/>
  <c r="P1008" i="42"/>
  <c r="O1008" i="42"/>
  <c r="P1007" i="42"/>
  <c r="O1007" i="42"/>
  <c r="P1006" i="42"/>
  <c r="O1006" i="42"/>
  <c r="P1005" i="42"/>
  <c r="O1005" i="42"/>
  <c r="P1004" i="42"/>
  <c r="O1004" i="42"/>
  <c r="P1003" i="42"/>
  <c r="O1003" i="42"/>
  <c r="P1002" i="42"/>
  <c r="O1002" i="42"/>
  <c r="P1001" i="42"/>
  <c r="O1001" i="42"/>
  <c r="P1000" i="42"/>
  <c r="O1000" i="42"/>
  <c r="P999" i="42"/>
  <c r="O999" i="42"/>
  <c r="P998" i="42"/>
  <c r="O998" i="42"/>
  <c r="P997" i="42"/>
  <c r="O997" i="42"/>
  <c r="P996" i="42"/>
  <c r="O996" i="42"/>
  <c r="P995" i="42"/>
  <c r="O995" i="42"/>
  <c r="P994" i="42"/>
  <c r="O994" i="42"/>
  <c r="P993" i="42"/>
  <c r="O993" i="42"/>
  <c r="P992" i="42"/>
  <c r="O992" i="42"/>
  <c r="P991" i="42"/>
  <c r="O991" i="42"/>
  <c r="P990" i="42"/>
  <c r="O990" i="42"/>
  <c r="P989" i="42"/>
  <c r="O989" i="42"/>
  <c r="P988" i="42"/>
  <c r="O988" i="42"/>
  <c r="P987" i="42"/>
  <c r="O987" i="42"/>
  <c r="P986" i="42"/>
  <c r="O986" i="42"/>
  <c r="P985" i="42"/>
  <c r="O985" i="42"/>
  <c r="P984" i="42"/>
  <c r="O984" i="42"/>
  <c r="P983" i="42"/>
  <c r="O983" i="42"/>
  <c r="P956" i="42"/>
  <c r="O956" i="42"/>
  <c r="I956" i="42"/>
  <c r="I957" i="42" s="1"/>
  <c r="P955" i="42"/>
  <c r="O955" i="42"/>
  <c r="L955" i="42"/>
  <c r="P954" i="42"/>
  <c r="O954" i="42"/>
  <c r="P953" i="42"/>
  <c r="O953" i="42"/>
  <c r="P952" i="42"/>
  <c r="O952" i="42"/>
  <c r="P950" i="42"/>
  <c r="O950" i="42"/>
  <c r="P949" i="42"/>
  <c r="O949" i="42"/>
  <c r="P948" i="42"/>
  <c r="O948" i="42"/>
  <c r="P947" i="42"/>
  <c r="O947" i="42"/>
  <c r="P946" i="42"/>
  <c r="O946" i="42"/>
  <c r="P945" i="42"/>
  <c r="P951" i="42" s="1"/>
  <c r="O945" i="42"/>
  <c r="P943" i="42"/>
  <c r="O943" i="42"/>
  <c r="P942" i="42"/>
  <c r="O942" i="42"/>
  <c r="P941" i="42"/>
  <c r="O941" i="42"/>
  <c r="P940" i="42"/>
  <c r="P944" i="42" s="1"/>
  <c r="O940" i="42"/>
  <c r="P938" i="42"/>
  <c r="O938" i="42"/>
  <c r="P937" i="42"/>
  <c r="P939" i="42" s="1"/>
  <c r="O937" i="42"/>
  <c r="P935" i="42"/>
  <c r="O935" i="42"/>
  <c r="I935" i="42"/>
  <c r="P934" i="42"/>
  <c r="O934" i="42"/>
  <c r="I934" i="42"/>
  <c r="P933" i="42"/>
  <c r="O933" i="42"/>
  <c r="I933" i="42"/>
  <c r="P932" i="42"/>
  <c r="O932" i="42"/>
  <c r="I932" i="42"/>
  <c r="P931" i="42"/>
  <c r="O931" i="42"/>
  <c r="I931" i="42"/>
  <c r="P930" i="42"/>
  <c r="O930" i="42"/>
  <c r="I930" i="42"/>
  <c r="P929" i="42"/>
  <c r="O929" i="42"/>
  <c r="I929" i="42"/>
  <c r="P928" i="42"/>
  <c r="O928" i="42"/>
  <c r="P926" i="42"/>
  <c r="O926" i="42"/>
  <c r="P925" i="42"/>
  <c r="O925" i="42"/>
  <c r="O927" i="42" s="1"/>
  <c r="P923" i="42"/>
  <c r="P922" i="42" s="1"/>
  <c r="O923" i="42"/>
  <c r="O922" i="42" s="1"/>
  <c r="P921" i="42"/>
  <c r="O921" i="42"/>
  <c r="P920" i="42"/>
  <c r="O920" i="42"/>
  <c r="P919" i="42"/>
  <c r="O919" i="42"/>
  <c r="O918" i="42" s="1"/>
  <c r="L915" i="42"/>
  <c r="L914" i="42"/>
  <c r="L913" i="42"/>
  <c r="L912" i="42"/>
  <c r="L911" i="42"/>
  <c r="L909" i="42"/>
  <c r="L908" i="42"/>
  <c r="L907" i="42"/>
  <c r="P905" i="42"/>
  <c r="O905" i="42"/>
  <c r="L905" i="42"/>
  <c r="P904" i="42"/>
  <c r="O904" i="42"/>
  <c r="L904" i="42"/>
  <c r="L903" i="42"/>
  <c r="P902" i="42"/>
  <c r="O902" i="42"/>
  <c r="L902" i="42"/>
  <c r="P901" i="42"/>
  <c r="O901" i="42"/>
  <c r="P900" i="42"/>
  <c r="O900" i="42"/>
  <c r="L900" i="42"/>
  <c r="P899" i="42"/>
  <c r="O899" i="42"/>
  <c r="L899" i="42"/>
  <c r="P898" i="42"/>
  <c r="O898" i="42"/>
  <c r="L898" i="42"/>
  <c r="P897" i="42"/>
  <c r="O897" i="42"/>
  <c r="L897" i="42"/>
  <c r="P896" i="42"/>
  <c r="O896" i="42"/>
  <c r="L896" i="42"/>
  <c r="P895" i="42"/>
  <c r="O895" i="42"/>
  <c r="L895" i="42"/>
  <c r="P893" i="42"/>
  <c r="O893" i="42"/>
  <c r="L893" i="42"/>
  <c r="P892" i="42"/>
  <c r="O892" i="42"/>
  <c r="L892" i="42"/>
  <c r="P891" i="42"/>
  <c r="O891" i="42"/>
  <c r="L891" i="42"/>
  <c r="P890" i="42"/>
  <c r="O890" i="42"/>
  <c r="L890" i="42"/>
  <c r="P889" i="42"/>
  <c r="O889" i="42"/>
  <c r="L889" i="42"/>
  <c r="P887" i="42"/>
  <c r="P888" i="42" s="1"/>
  <c r="O887" i="42"/>
  <c r="O888" i="42" s="1"/>
  <c r="L887" i="42"/>
  <c r="L888" i="42" s="1"/>
  <c r="P885" i="42"/>
  <c r="O885" i="42"/>
  <c r="P884" i="42"/>
  <c r="O884" i="42"/>
  <c r="P883" i="42"/>
  <c r="O883" i="42"/>
  <c r="P882" i="42"/>
  <c r="O882" i="42"/>
  <c r="P881" i="42"/>
  <c r="O881" i="42"/>
  <c r="P880" i="42"/>
  <c r="O880" i="42"/>
  <c r="P879" i="42"/>
  <c r="O879" i="42"/>
  <c r="P878" i="42"/>
  <c r="O878" i="42"/>
  <c r="O886" i="42" s="1"/>
  <c r="P876" i="42"/>
  <c r="O876" i="42"/>
  <c r="P875" i="42"/>
  <c r="O875" i="42"/>
  <c r="P865" i="42"/>
  <c r="O865" i="42"/>
  <c r="P864" i="42"/>
  <c r="O864" i="42"/>
  <c r="P863" i="42"/>
  <c r="O863" i="42"/>
  <c r="P862" i="42"/>
  <c r="O862" i="42"/>
  <c r="P861" i="42"/>
  <c r="O861" i="42"/>
  <c r="P860" i="42"/>
  <c r="O860" i="42"/>
  <c r="P859" i="42"/>
  <c r="O859" i="42"/>
  <c r="P858" i="42"/>
  <c r="O858" i="42"/>
  <c r="P856" i="42"/>
  <c r="O856" i="42"/>
  <c r="P855" i="42"/>
  <c r="O855" i="42"/>
  <c r="P854" i="42"/>
  <c r="O854" i="42"/>
  <c r="P853" i="42"/>
  <c r="O853" i="42"/>
  <c r="P851" i="42"/>
  <c r="O851" i="42"/>
  <c r="P850" i="42"/>
  <c r="O850" i="42"/>
  <c r="P849" i="42"/>
  <c r="O849" i="42"/>
  <c r="P848" i="42"/>
  <c r="O848" i="42"/>
  <c r="H847" i="42"/>
  <c r="H852" i="42" s="1"/>
  <c r="H867" i="42" s="1"/>
  <c r="P845" i="42"/>
  <c r="O845" i="42"/>
  <c r="P844" i="42"/>
  <c r="O844" i="42"/>
  <c r="P843" i="42"/>
  <c r="O843" i="42"/>
  <c r="I843" i="42"/>
  <c r="I852" i="42" s="1"/>
  <c r="I867" i="42" s="1"/>
  <c r="P841" i="42"/>
  <c r="O841" i="42"/>
  <c r="P840" i="42"/>
  <c r="O840" i="42"/>
  <c r="P838" i="42"/>
  <c r="O838" i="42"/>
  <c r="P836" i="42"/>
  <c r="O836" i="42"/>
  <c r="P835" i="42"/>
  <c r="O835" i="42"/>
  <c r="P833" i="42"/>
  <c r="O833" i="42"/>
  <c r="P832" i="42"/>
  <c r="O832" i="42"/>
  <c r="P831" i="42"/>
  <c r="O831" i="42"/>
  <c r="P830" i="42"/>
  <c r="O830" i="42"/>
  <c r="P829" i="42"/>
  <c r="O829" i="42"/>
  <c r="P828" i="42"/>
  <c r="O828" i="42"/>
  <c r="P827" i="42"/>
  <c r="O827" i="42"/>
  <c r="P826" i="42"/>
  <c r="O826" i="42"/>
  <c r="P825" i="42"/>
  <c r="O825" i="42"/>
  <c r="P824" i="42"/>
  <c r="O824" i="42"/>
  <c r="P823" i="42"/>
  <c r="O823" i="42"/>
  <c r="P822" i="42"/>
  <c r="O822" i="42"/>
  <c r="P821" i="42"/>
  <c r="O821" i="42"/>
  <c r="P820" i="42"/>
  <c r="O820" i="42"/>
  <c r="P819" i="42"/>
  <c r="O819" i="42"/>
  <c r="P818" i="42"/>
  <c r="O818" i="42"/>
  <c r="P814" i="42"/>
  <c r="P817" i="42" s="1"/>
  <c r="O814" i="42"/>
  <c r="O817" i="42" s="1"/>
  <c r="P811" i="42"/>
  <c r="O811" i="42"/>
  <c r="H811" i="42"/>
  <c r="H812" i="42" s="1"/>
  <c r="P810" i="42"/>
  <c r="O810" i="42"/>
  <c r="P809" i="42"/>
  <c r="O809" i="42"/>
  <c r="P808" i="42"/>
  <c r="O808" i="42"/>
  <c r="P807" i="42"/>
  <c r="O807" i="42"/>
  <c r="L807" i="42"/>
  <c r="P806" i="42"/>
  <c r="O806" i="42"/>
  <c r="P805" i="42"/>
  <c r="O805" i="42"/>
  <c r="L805" i="42"/>
  <c r="P804" i="42"/>
  <c r="O804" i="42"/>
  <c r="L804" i="42"/>
  <c r="L802" i="42"/>
  <c r="H802" i="42"/>
  <c r="H803" i="42" s="1"/>
  <c r="P801" i="42"/>
  <c r="O801" i="42"/>
  <c r="L801" i="42"/>
  <c r="P800" i="42"/>
  <c r="O800" i="42"/>
  <c r="L800" i="42"/>
  <c r="P799" i="42"/>
  <c r="O799" i="42"/>
  <c r="L799" i="42"/>
  <c r="P797" i="42"/>
  <c r="O797" i="42"/>
  <c r="L797" i="42"/>
  <c r="P796" i="42"/>
  <c r="O796" i="42"/>
  <c r="L796" i="42"/>
  <c r="P794" i="42"/>
  <c r="O794" i="42"/>
  <c r="L794" i="42"/>
  <c r="P793" i="42"/>
  <c r="O793" i="42"/>
  <c r="L793" i="42"/>
  <c r="P792" i="42"/>
  <c r="O792" i="42"/>
  <c r="L792" i="42"/>
  <c r="P791" i="42"/>
  <c r="O791" i="42"/>
  <c r="L791" i="42"/>
  <c r="P790" i="42"/>
  <c r="O790" i="42"/>
  <c r="L790" i="42"/>
  <c r="P789" i="42"/>
  <c r="O789" i="42"/>
  <c r="L789" i="42"/>
  <c r="P788" i="42"/>
  <c r="O788" i="42"/>
  <c r="L788" i="42"/>
  <c r="P787" i="42"/>
  <c r="O787" i="42"/>
  <c r="L787" i="42"/>
  <c r="P786" i="42"/>
  <c r="O786" i="42"/>
  <c r="L786" i="42"/>
  <c r="P785" i="42"/>
  <c r="O785" i="42"/>
  <c r="L785" i="42"/>
  <c r="P784" i="42"/>
  <c r="O784" i="42"/>
  <c r="L784" i="42"/>
  <c r="P783" i="42"/>
  <c r="O783" i="42"/>
  <c r="L783" i="42"/>
  <c r="P782" i="42"/>
  <c r="O782" i="42"/>
  <c r="L782" i="42"/>
  <c r="P781" i="42"/>
  <c r="O781" i="42"/>
  <c r="L781" i="42"/>
  <c r="L780" i="42"/>
  <c r="P778" i="42"/>
  <c r="O778" i="42"/>
  <c r="L778" i="42"/>
  <c r="P777" i="42"/>
  <c r="O777" i="42"/>
  <c r="L777" i="42"/>
  <c r="P776" i="42"/>
  <c r="O776" i="42"/>
  <c r="L776" i="42"/>
  <c r="P775" i="42"/>
  <c r="O775" i="42"/>
  <c r="L775" i="42"/>
  <c r="P774" i="42"/>
  <c r="O774" i="42"/>
  <c r="L774" i="42"/>
  <c r="P773" i="42"/>
  <c r="O773" i="42"/>
  <c r="L773" i="42"/>
  <c r="P772" i="42"/>
  <c r="O772" i="42"/>
  <c r="L772" i="42"/>
  <c r="P770" i="42"/>
  <c r="P771" i="42" s="1"/>
  <c r="O770" i="42"/>
  <c r="O771" i="42" s="1"/>
  <c r="L770" i="42"/>
  <c r="L771" i="42" s="1"/>
  <c r="P768" i="42"/>
  <c r="O768" i="42"/>
  <c r="P767" i="42"/>
  <c r="O767" i="42"/>
  <c r="P766" i="42"/>
  <c r="O766" i="42"/>
  <c r="P765" i="42"/>
  <c r="O765" i="42"/>
  <c r="P764" i="42"/>
  <c r="O764" i="42"/>
  <c r="P763" i="42"/>
  <c r="O763" i="42"/>
  <c r="P762" i="42"/>
  <c r="O762" i="42"/>
  <c r="P761" i="42"/>
  <c r="O761" i="42"/>
  <c r="P760" i="42"/>
  <c r="O760" i="42"/>
  <c r="P759" i="42"/>
  <c r="O759" i="42"/>
  <c r="P758" i="42"/>
  <c r="O758" i="42"/>
  <c r="P757" i="42"/>
  <c r="O757" i="42"/>
  <c r="P756" i="42"/>
  <c r="O756" i="42"/>
  <c r="P755" i="42"/>
  <c r="O755" i="42"/>
  <c r="P754" i="42"/>
  <c r="O754" i="42"/>
  <c r="P753" i="42"/>
  <c r="O753" i="42"/>
  <c r="P752" i="42"/>
  <c r="O752" i="42"/>
  <c r="P750" i="42"/>
  <c r="O750" i="42"/>
  <c r="P749" i="42"/>
  <c r="O749" i="42"/>
  <c r="P748" i="42"/>
  <c r="O748" i="42"/>
  <c r="P745" i="42"/>
  <c r="O745" i="42"/>
  <c r="P744" i="42"/>
  <c r="O744" i="42"/>
  <c r="P743" i="42"/>
  <c r="O743" i="42"/>
  <c r="P742" i="42"/>
  <c r="O742" i="42"/>
  <c r="P741" i="42"/>
  <c r="O741" i="42"/>
  <c r="P740" i="42"/>
  <c r="O740" i="42"/>
  <c r="P739" i="42"/>
  <c r="O739" i="42"/>
  <c r="P738" i="42"/>
  <c r="O738" i="42"/>
  <c r="P737" i="42"/>
  <c r="O737" i="42"/>
  <c r="P736" i="42"/>
  <c r="O736" i="42"/>
  <c r="P735" i="42"/>
  <c r="O735" i="42"/>
  <c r="P734" i="42"/>
  <c r="O734" i="42"/>
  <c r="P733" i="42"/>
  <c r="O733" i="42"/>
  <c r="P731" i="42"/>
  <c r="O731" i="42"/>
  <c r="P730" i="42"/>
  <c r="O730" i="42"/>
  <c r="L730" i="42"/>
  <c r="P728" i="42"/>
  <c r="O728" i="42"/>
  <c r="P727" i="42"/>
  <c r="O727" i="42"/>
  <c r="N725" i="42"/>
  <c r="M725" i="42"/>
  <c r="K725" i="42"/>
  <c r="J725" i="42"/>
  <c r="I725" i="42"/>
  <c r="H725" i="42"/>
  <c r="P724" i="42"/>
  <c r="O724" i="42"/>
  <c r="L724" i="42"/>
  <c r="L723" i="42"/>
  <c r="P722" i="42"/>
  <c r="O722" i="42"/>
  <c r="L722" i="42"/>
  <c r="P721" i="42"/>
  <c r="O721" i="42"/>
  <c r="P720" i="42"/>
  <c r="O720" i="42"/>
  <c r="L720" i="42"/>
  <c r="P719" i="42"/>
  <c r="O719" i="42"/>
  <c r="N718" i="42"/>
  <c r="M718" i="42"/>
  <c r="K718" i="42"/>
  <c r="J718" i="42"/>
  <c r="I718" i="42"/>
  <c r="P717" i="42"/>
  <c r="O717" i="42"/>
  <c r="P716" i="42"/>
  <c r="O716" i="42"/>
  <c r="P715" i="42"/>
  <c r="O715" i="42"/>
  <c r="L715" i="42"/>
  <c r="P714" i="42"/>
  <c r="O714" i="42"/>
  <c r="L714" i="42"/>
  <c r="P713" i="42"/>
  <c r="O713" i="42"/>
  <c r="L713" i="42"/>
  <c r="P712" i="42"/>
  <c r="O712" i="42"/>
  <c r="L712" i="42"/>
  <c r="H712" i="42"/>
  <c r="H718" i="42" s="1"/>
  <c r="P711" i="42"/>
  <c r="O711" i="42"/>
  <c r="L711" i="42"/>
  <c r="P710" i="42"/>
  <c r="O710" i="42"/>
  <c r="P709" i="42"/>
  <c r="O709" i="42"/>
  <c r="L709" i="42"/>
  <c r="P708" i="42"/>
  <c r="O708" i="42"/>
  <c r="L708" i="42"/>
  <c r="P707" i="42"/>
  <c r="O707" i="42"/>
  <c r="L707" i="42"/>
  <c r="P706" i="42"/>
  <c r="O706" i="42"/>
  <c r="L706" i="42"/>
  <c r="N705" i="42"/>
  <c r="M705" i="42"/>
  <c r="K705" i="42"/>
  <c r="J705" i="42"/>
  <c r="H705" i="42"/>
  <c r="L702" i="42"/>
  <c r="L701" i="42"/>
  <c r="L700" i="42"/>
  <c r="L699" i="42"/>
  <c r="L698" i="42"/>
  <c r="L697" i="42"/>
  <c r="L696" i="42"/>
  <c r="I696" i="42"/>
  <c r="I705" i="42" s="1"/>
  <c r="L695" i="42"/>
  <c r="L694" i="42"/>
  <c r="L693" i="42"/>
  <c r="L692" i="42"/>
  <c r="L691" i="42"/>
  <c r="L690" i="42"/>
  <c r="L689" i="42"/>
  <c r="P677" i="42"/>
  <c r="O677" i="42"/>
  <c r="P676" i="42"/>
  <c r="O676" i="42"/>
  <c r="P675" i="42"/>
  <c r="O675" i="42"/>
  <c r="L675" i="42"/>
  <c r="P674" i="42"/>
  <c r="O674" i="42"/>
  <c r="L674" i="42"/>
  <c r="P673" i="42"/>
  <c r="O673" i="42"/>
  <c r="P672" i="42"/>
  <c r="O672" i="42"/>
  <c r="L672" i="42"/>
  <c r="P671" i="42"/>
  <c r="O671" i="42"/>
  <c r="P670" i="42"/>
  <c r="O670" i="42"/>
  <c r="P669" i="42"/>
  <c r="O669" i="42"/>
  <c r="P668" i="42"/>
  <c r="O668" i="42"/>
  <c r="L668" i="42"/>
  <c r="P667" i="42"/>
  <c r="O667" i="42"/>
  <c r="L667" i="42"/>
  <c r="P665" i="42"/>
  <c r="O665" i="42"/>
  <c r="L665" i="42"/>
  <c r="P664" i="42"/>
  <c r="O664" i="42"/>
  <c r="L664" i="42"/>
  <c r="P662" i="42"/>
  <c r="O662" i="42"/>
  <c r="L662" i="42"/>
  <c r="P661" i="42"/>
  <c r="O661" i="42"/>
  <c r="L661" i="42"/>
  <c r="P660" i="42"/>
  <c r="O660" i="42"/>
  <c r="L660" i="42"/>
  <c r="P659" i="42"/>
  <c r="O659" i="42"/>
  <c r="L659" i="42"/>
  <c r="P658" i="42"/>
  <c r="O658" i="42"/>
  <c r="L658" i="42"/>
  <c r="P656" i="42"/>
  <c r="O656" i="42"/>
  <c r="L656" i="42"/>
  <c r="P655" i="42"/>
  <c r="O655" i="42"/>
  <c r="L655" i="42"/>
  <c r="P654" i="42"/>
  <c r="O654" i="42"/>
  <c r="L654" i="42"/>
  <c r="P653" i="42"/>
  <c r="O653" i="42"/>
  <c r="L653" i="42"/>
  <c r="P651" i="42"/>
  <c r="O651" i="42"/>
  <c r="L651" i="42"/>
  <c r="P650" i="42"/>
  <c r="O650" i="42"/>
  <c r="L650" i="42"/>
  <c r="P649" i="42"/>
  <c r="O649" i="42"/>
  <c r="L649" i="42"/>
  <c r="P648" i="42"/>
  <c r="O648" i="42"/>
  <c r="L648" i="42"/>
  <c r="P647" i="42"/>
  <c r="O647" i="42"/>
  <c r="L647" i="42"/>
  <c r="P646" i="42"/>
  <c r="O646" i="42"/>
  <c r="L646" i="42"/>
  <c r="P645" i="42"/>
  <c r="O645" i="42"/>
  <c r="P644" i="42"/>
  <c r="O644" i="42"/>
  <c r="L644" i="42"/>
  <c r="P643" i="42"/>
  <c r="O643" i="42"/>
  <c r="L643" i="42"/>
  <c r="P620" i="42"/>
  <c r="P622" i="42" s="1"/>
  <c r="O620" i="42"/>
  <c r="O622" i="42" s="1"/>
  <c r="P619" i="42"/>
  <c r="O619" i="42"/>
  <c r="P618" i="42"/>
  <c r="O618" i="42"/>
  <c r="P617" i="42"/>
  <c r="O617" i="42"/>
  <c r="P616" i="42"/>
  <c r="O616" i="42"/>
  <c r="P614" i="42"/>
  <c r="P615" i="42" s="1"/>
  <c r="O614" i="42"/>
  <c r="O615" i="42" s="1"/>
  <c r="P612" i="42"/>
  <c r="O612" i="42"/>
  <c r="P611" i="42"/>
  <c r="O611" i="42"/>
  <c r="P609" i="42"/>
  <c r="P610" i="42" s="1"/>
  <c r="O609" i="42"/>
  <c r="O610" i="42" s="1"/>
  <c r="L609" i="42"/>
  <c r="P607" i="42"/>
  <c r="O607" i="42"/>
  <c r="P606" i="42"/>
  <c r="O606" i="42"/>
  <c r="P605" i="42"/>
  <c r="O605" i="42"/>
  <c r="P604" i="42"/>
  <c r="O604" i="42"/>
  <c r="P603" i="42"/>
  <c r="O603" i="42"/>
  <c r="P602" i="42"/>
  <c r="O602" i="42"/>
  <c r="P601" i="42"/>
  <c r="O601" i="42"/>
  <c r="P599" i="42"/>
  <c r="O599" i="42"/>
  <c r="P598" i="42"/>
  <c r="O598" i="42"/>
  <c r="P597" i="42"/>
  <c r="O597" i="42"/>
  <c r="H594" i="42"/>
  <c r="H578" i="42" s="1"/>
  <c r="O594" i="42"/>
  <c r="O578" i="42" s="1"/>
  <c r="P594" i="42"/>
  <c r="P578" i="42" s="1"/>
  <c r="N576" i="42"/>
  <c r="M576" i="42"/>
  <c r="K576" i="42"/>
  <c r="J576" i="42"/>
  <c r="H576" i="42"/>
  <c r="P575" i="42"/>
  <c r="O575" i="42"/>
  <c r="P574" i="42"/>
  <c r="O574" i="42"/>
  <c r="L574" i="42"/>
  <c r="I574" i="42"/>
  <c r="I576" i="42" s="1"/>
  <c r="P573" i="42"/>
  <c r="O573" i="42"/>
  <c r="L573" i="42"/>
  <c r="P572" i="42"/>
  <c r="O572" i="42"/>
  <c r="L572" i="42"/>
  <c r="P571" i="42"/>
  <c r="O571" i="42"/>
  <c r="L571" i="42"/>
  <c r="N570" i="42"/>
  <c r="M570" i="42"/>
  <c r="K570" i="42"/>
  <c r="J570" i="42"/>
  <c r="I570" i="42"/>
  <c r="H570" i="42"/>
  <c r="P569" i="42"/>
  <c r="O569" i="42"/>
  <c r="L569" i="42"/>
  <c r="P568" i="42"/>
  <c r="O568" i="42"/>
  <c r="L568" i="42"/>
  <c r="P567" i="42"/>
  <c r="O567" i="42"/>
  <c r="L567" i="42"/>
  <c r="N566" i="42"/>
  <c r="M566" i="42"/>
  <c r="K566" i="42"/>
  <c r="J566" i="42"/>
  <c r="I566" i="42"/>
  <c r="H566" i="42"/>
  <c r="P565" i="42"/>
  <c r="O565" i="42"/>
  <c r="L565" i="42"/>
  <c r="P564" i="42"/>
  <c r="O564" i="42"/>
  <c r="L564" i="42"/>
  <c r="P563" i="42"/>
  <c r="O563" i="42"/>
  <c r="L563" i="42"/>
  <c r="P562" i="42"/>
  <c r="O562" i="42"/>
  <c r="L562" i="42"/>
  <c r="P561" i="42"/>
  <c r="O561" i="42"/>
  <c r="L561" i="42"/>
  <c r="N560" i="42"/>
  <c r="M560" i="42"/>
  <c r="K560" i="42"/>
  <c r="J560" i="42"/>
  <c r="I560" i="42"/>
  <c r="H560" i="42"/>
  <c r="P559" i="42"/>
  <c r="P560" i="42" s="1"/>
  <c r="O559" i="42"/>
  <c r="O560" i="42" s="1"/>
  <c r="L559" i="42"/>
  <c r="L560" i="42" s="1"/>
  <c r="N558" i="42"/>
  <c r="M558" i="42"/>
  <c r="L558" i="42"/>
  <c r="K558" i="42"/>
  <c r="J558" i="42"/>
  <c r="H558" i="42"/>
  <c r="P557" i="42"/>
  <c r="O557" i="42"/>
  <c r="I557" i="42"/>
  <c r="P556" i="42"/>
  <c r="O556" i="42"/>
  <c r="I556" i="42"/>
  <c r="P555" i="42"/>
  <c r="O555" i="42"/>
  <c r="I555" i="42"/>
  <c r="P554" i="42"/>
  <c r="O554" i="42"/>
  <c r="I554" i="42"/>
  <c r="P553" i="42"/>
  <c r="O553" i="42"/>
  <c r="I553" i="42"/>
  <c r="P552" i="42"/>
  <c r="O552" i="42"/>
  <c r="P551" i="42"/>
  <c r="O551" i="42"/>
  <c r="P550" i="42"/>
  <c r="O550" i="42"/>
  <c r="P549" i="42"/>
  <c r="O549" i="42"/>
  <c r="N548" i="42"/>
  <c r="M548" i="42"/>
  <c r="L548" i="42"/>
  <c r="K548" i="42"/>
  <c r="J548" i="42"/>
  <c r="P547" i="42"/>
  <c r="O547" i="42"/>
  <c r="P546" i="42"/>
  <c r="P548" i="42" s="1"/>
  <c r="O546" i="42"/>
  <c r="O548" i="42" s="1"/>
  <c r="I546" i="42"/>
  <c r="I548" i="42" s="1"/>
  <c r="H546" i="42"/>
  <c r="H548" i="42" s="1"/>
  <c r="P538" i="42"/>
  <c r="O538" i="42"/>
  <c r="P537" i="42"/>
  <c r="O537" i="42"/>
  <c r="P535" i="42"/>
  <c r="O535" i="42"/>
  <c r="P534" i="42"/>
  <c r="O534" i="42"/>
  <c r="K531" i="42"/>
  <c r="J531" i="42"/>
  <c r="I531" i="42"/>
  <c r="H531" i="42"/>
  <c r="P530" i="42"/>
  <c r="O530" i="42"/>
  <c r="P529" i="42"/>
  <c r="O529" i="42"/>
  <c r="L529" i="42"/>
  <c r="P528" i="42"/>
  <c r="O528" i="42"/>
  <c r="L528" i="42"/>
  <c r="P527" i="42"/>
  <c r="O527" i="42"/>
  <c r="L527" i="42"/>
  <c r="P526" i="42"/>
  <c r="O526" i="42"/>
  <c r="P525" i="42"/>
  <c r="O525" i="42"/>
  <c r="N524" i="42"/>
  <c r="M524" i="42"/>
  <c r="K524" i="42"/>
  <c r="J524" i="42"/>
  <c r="I524" i="42"/>
  <c r="H524" i="42"/>
  <c r="P523" i="42"/>
  <c r="P524" i="42" s="1"/>
  <c r="O523" i="42"/>
  <c r="O524" i="42" s="1"/>
  <c r="L523" i="42"/>
  <c r="L524" i="42" s="1"/>
  <c r="N522" i="42"/>
  <c r="M522" i="42"/>
  <c r="K522" i="42"/>
  <c r="J522" i="42"/>
  <c r="I522" i="42"/>
  <c r="H522" i="42"/>
  <c r="P521" i="42"/>
  <c r="O521" i="42"/>
  <c r="L521" i="42"/>
  <c r="P520" i="42"/>
  <c r="O520" i="42"/>
  <c r="L520" i="42"/>
  <c r="P519" i="42"/>
  <c r="O519" i="42"/>
  <c r="L519" i="42"/>
  <c r="P518" i="42"/>
  <c r="O518" i="42"/>
  <c r="P517" i="42"/>
  <c r="O517" i="42"/>
  <c r="L517" i="42"/>
  <c r="N516" i="42"/>
  <c r="M516" i="42"/>
  <c r="K516" i="42"/>
  <c r="J516" i="42"/>
  <c r="I516" i="42"/>
  <c r="P515" i="42"/>
  <c r="O515" i="42"/>
  <c r="L515" i="42"/>
  <c r="P514" i="42"/>
  <c r="O514" i="42"/>
  <c r="L514" i="42"/>
  <c r="H514" i="42"/>
  <c r="H516" i="42" s="1"/>
  <c r="P513" i="42"/>
  <c r="O513" i="42"/>
  <c r="L513" i="42"/>
  <c r="P512" i="42"/>
  <c r="O512" i="42"/>
  <c r="L512" i="42"/>
  <c r="P511" i="42"/>
  <c r="O511" i="42"/>
  <c r="L511" i="42"/>
  <c r="N510" i="42"/>
  <c r="M510" i="42"/>
  <c r="L510" i="42"/>
  <c r="K510" i="42"/>
  <c r="J510" i="42"/>
  <c r="I510" i="42"/>
  <c r="H510" i="42"/>
  <c r="P509" i="42"/>
  <c r="P510" i="42" s="1"/>
  <c r="O509" i="42"/>
  <c r="O510" i="42" s="1"/>
  <c r="N508" i="42"/>
  <c r="M508" i="42"/>
  <c r="L508" i="42"/>
  <c r="K508" i="42"/>
  <c r="J508" i="42"/>
  <c r="I508" i="42"/>
  <c r="H508" i="42"/>
  <c r="P507" i="42"/>
  <c r="O507" i="42"/>
  <c r="P506" i="42"/>
  <c r="O506" i="42"/>
  <c r="P505" i="42"/>
  <c r="O505" i="42"/>
  <c r="P504" i="42"/>
  <c r="O504" i="42"/>
  <c r="P503" i="42"/>
  <c r="O503" i="42"/>
  <c r="P502" i="42"/>
  <c r="O502" i="42"/>
  <c r="P501" i="42"/>
  <c r="O501" i="42"/>
  <c r="P500" i="42"/>
  <c r="O500" i="42"/>
  <c r="P499" i="42"/>
  <c r="O499" i="42"/>
  <c r="N498" i="42"/>
  <c r="M498" i="42"/>
  <c r="L498" i="42"/>
  <c r="K498" i="42"/>
  <c r="J498" i="42"/>
  <c r="I498" i="42"/>
  <c r="H498" i="42"/>
  <c r="P497" i="42"/>
  <c r="O497" i="42"/>
  <c r="P496" i="42"/>
  <c r="O496" i="42"/>
  <c r="P495" i="42"/>
  <c r="O495" i="42"/>
  <c r="N492" i="42"/>
  <c r="M492" i="42"/>
  <c r="K492" i="42"/>
  <c r="J492" i="42"/>
  <c r="I492" i="42"/>
  <c r="H492" i="42"/>
  <c r="P491" i="42"/>
  <c r="O491" i="42"/>
  <c r="L491" i="42"/>
  <c r="P490" i="42"/>
  <c r="O490" i="42"/>
  <c r="L490" i="42"/>
  <c r="P489" i="42"/>
  <c r="O489" i="42"/>
  <c r="L489" i="42"/>
  <c r="P488" i="42"/>
  <c r="O488" i="42"/>
  <c r="L488" i="42"/>
  <c r="P487" i="42"/>
  <c r="O487" i="42"/>
  <c r="L487" i="42"/>
  <c r="P486" i="42"/>
  <c r="O486" i="42"/>
  <c r="L486" i="42"/>
  <c r="P485" i="42"/>
  <c r="O485" i="42"/>
  <c r="L485" i="42"/>
  <c r="N484" i="42"/>
  <c r="M484" i="42"/>
  <c r="K484" i="42"/>
  <c r="J484" i="42"/>
  <c r="I484" i="42"/>
  <c r="P483" i="42"/>
  <c r="O483" i="42"/>
  <c r="L483" i="42"/>
  <c r="P482" i="42"/>
  <c r="O482" i="42"/>
  <c r="L482" i="42"/>
  <c r="P481" i="42"/>
  <c r="O481" i="42"/>
  <c r="L481" i="42"/>
  <c r="P480" i="42"/>
  <c r="O480" i="42"/>
  <c r="L480" i="42"/>
  <c r="H480" i="42"/>
  <c r="H484" i="42" s="1"/>
  <c r="N479" i="42"/>
  <c r="M479" i="42"/>
  <c r="K479" i="42"/>
  <c r="J479" i="42"/>
  <c r="I479" i="42"/>
  <c r="H479" i="42"/>
  <c r="P478" i="42"/>
  <c r="O478" i="42"/>
  <c r="L478" i="42"/>
  <c r="P477" i="42"/>
  <c r="O477" i="42"/>
  <c r="L477" i="42"/>
  <c r="P476" i="42"/>
  <c r="O476" i="42"/>
  <c r="L476" i="42"/>
  <c r="N474" i="42"/>
  <c r="M474" i="42"/>
  <c r="K474" i="42"/>
  <c r="J474" i="42"/>
  <c r="I474" i="42"/>
  <c r="P473" i="42"/>
  <c r="O473" i="42"/>
  <c r="P472" i="42"/>
  <c r="O472" i="42"/>
  <c r="L472" i="42"/>
  <c r="H472" i="42"/>
  <c r="P471" i="42"/>
  <c r="O471" i="42"/>
  <c r="L471" i="42"/>
  <c r="L474" i="42" s="1"/>
  <c r="H471" i="42"/>
  <c r="H474" i="42" s="1"/>
  <c r="N470" i="42"/>
  <c r="M470" i="42"/>
  <c r="K470" i="42"/>
  <c r="J470" i="42"/>
  <c r="I470" i="42"/>
  <c r="P469" i="42"/>
  <c r="O469" i="42"/>
  <c r="P468" i="42"/>
  <c r="O468" i="42"/>
  <c r="L468" i="42"/>
  <c r="H468" i="42"/>
  <c r="P467" i="42"/>
  <c r="O467" i="42"/>
  <c r="L467" i="42"/>
  <c r="L470" i="42" s="1"/>
  <c r="H467" i="42"/>
  <c r="H470" i="42" s="1"/>
  <c r="N466" i="42"/>
  <c r="M466" i="42"/>
  <c r="K466" i="42"/>
  <c r="J466" i="42"/>
  <c r="I466" i="42"/>
  <c r="P465" i="42"/>
  <c r="O465" i="42"/>
  <c r="P464" i="42"/>
  <c r="O464" i="42"/>
  <c r="L464" i="42"/>
  <c r="H464" i="42"/>
  <c r="P463" i="42"/>
  <c r="O463" i="42"/>
  <c r="L463" i="42"/>
  <c r="L466" i="42" s="1"/>
  <c r="H463" i="42"/>
  <c r="H466" i="42" s="1"/>
  <c r="N462" i="42"/>
  <c r="M462" i="42"/>
  <c r="K462" i="42"/>
  <c r="J462" i="42"/>
  <c r="I462" i="42"/>
  <c r="P461" i="42"/>
  <c r="O461" i="42"/>
  <c r="P460" i="42"/>
  <c r="O460" i="42"/>
  <c r="L460" i="42"/>
  <c r="H460" i="42"/>
  <c r="P459" i="42"/>
  <c r="O459" i="42"/>
  <c r="L459" i="42"/>
  <c r="L462" i="42" s="1"/>
  <c r="H459" i="42"/>
  <c r="H462" i="42" s="1"/>
  <c r="N458" i="42"/>
  <c r="M458" i="42"/>
  <c r="K458" i="42"/>
  <c r="J458" i="42"/>
  <c r="I458" i="42"/>
  <c r="P457" i="42"/>
  <c r="O457" i="42"/>
  <c r="P456" i="42"/>
  <c r="O456" i="42"/>
  <c r="L456" i="42"/>
  <c r="H456" i="42"/>
  <c r="P455" i="42"/>
  <c r="O455" i="42"/>
  <c r="L455" i="42"/>
  <c r="L458" i="42" s="1"/>
  <c r="H455" i="42"/>
  <c r="H458" i="42" s="1"/>
  <c r="N454" i="42"/>
  <c r="M454" i="42"/>
  <c r="K454" i="42"/>
  <c r="J454" i="42"/>
  <c r="I454" i="42"/>
  <c r="P453" i="42"/>
  <c r="O453" i="42"/>
  <c r="P452" i="42"/>
  <c r="O452" i="42"/>
  <c r="L452" i="42"/>
  <c r="H452" i="42"/>
  <c r="P451" i="42"/>
  <c r="O451" i="42"/>
  <c r="L451" i="42"/>
  <c r="L454" i="42" s="1"/>
  <c r="H451" i="42"/>
  <c r="H454" i="42" s="1"/>
  <c r="N450" i="42"/>
  <c r="M450" i="42"/>
  <c r="L450" i="42"/>
  <c r="K450" i="42"/>
  <c r="J450" i="42"/>
  <c r="I450" i="42"/>
  <c r="P449" i="42"/>
  <c r="O449" i="42"/>
  <c r="P448" i="42"/>
  <c r="O448" i="42"/>
  <c r="H448" i="42"/>
  <c r="P447" i="42"/>
  <c r="O447" i="42"/>
  <c r="H447" i="42"/>
  <c r="N446" i="42"/>
  <c r="I446" i="42"/>
  <c r="P445" i="42"/>
  <c r="O445" i="42"/>
  <c r="P444" i="42"/>
  <c r="O444" i="42"/>
  <c r="L444" i="42"/>
  <c r="P443" i="42"/>
  <c r="O443" i="42"/>
  <c r="M443" i="42"/>
  <c r="K443" i="42"/>
  <c r="H443" i="42"/>
  <c r="P442" i="42"/>
  <c r="O442" i="42"/>
  <c r="L442" i="42"/>
  <c r="P441" i="42"/>
  <c r="O441" i="42"/>
  <c r="M441" i="42"/>
  <c r="M446" i="42" s="1"/>
  <c r="L441" i="42"/>
  <c r="K441" i="42"/>
  <c r="J441" i="42"/>
  <c r="J446" i="42" s="1"/>
  <c r="H441" i="42"/>
  <c r="H446" i="42" s="1"/>
  <c r="N440" i="42"/>
  <c r="M440" i="42"/>
  <c r="K440" i="42"/>
  <c r="J440" i="42"/>
  <c r="I440" i="42"/>
  <c r="P439" i="42"/>
  <c r="O439" i="42"/>
  <c r="P438" i="42"/>
  <c r="O438" i="42"/>
  <c r="H438" i="42"/>
  <c r="P437" i="42"/>
  <c r="O437" i="42"/>
  <c r="L437" i="42"/>
  <c r="L440" i="42" s="1"/>
  <c r="H437" i="42"/>
  <c r="H440" i="42" s="1"/>
  <c r="N436" i="42"/>
  <c r="M436" i="42"/>
  <c r="K436" i="42"/>
  <c r="J436" i="42"/>
  <c r="P435" i="42"/>
  <c r="O435" i="42"/>
  <c r="L435" i="42"/>
  <c r="P434" i="42"/>
  <c r="O434" i="42"/>
  <c r="L434" i="42"/>
  <c r="P433" i="42"/>
  <c r="O433" i="42"/>
  <c r="L433" i="42"/>
  <c r="P432" i="42"/>
  <c r="O432" i="42"/>
  <c r="L432" i="42"/>
  <c r="P431" i="42"/>
  <c r="O431" i="42"/>
  <c r="P430" i="42"/>
  <c r="O430" i="42"/>
  <c r="P429" i="42"/>
  <c r="O429" i="42"/>
  <c r="P428" i="42"/>
  <c r="O428" i="42"/>
  <c r="P427" i="42"/>
  <c r="O427" i="42"/>
  <c r="P426" i="42"/>
  <c r="O426" i="42"/>
  <c r="P425" i="42"/>
  <c r="O425" i="42"/>
  <c r="P424" i="42"/>
  <c r="O424" i="42"/>
  <c r="P423" i="42"/>
  <c r="O423" i="42"/>
  <c r="P422" i="42"/>
  <c r="O422" i="42"/>
  <c r="P421" i="42"/>
  <c r="O421" i="42"/>
  <c r="P420" i="42"/>
  <c r="O420" i="42"/>
  <c r="P419" i="42"/>
  <c r="O419" i="42"/>
  <c r="P418" i="42"/>
  <c r="O418" i="42"/>
  <c r="P417" i="42"/>
  <c r="O417" i="42"/>
  <c r="P416" i="42"/>
  <c r="O416" i="42"/>
  <c r="P415" i="42"/>
  <c r="O415" i="42"/>
  <c r="N414" i="42"/>
  <c r="M414" i="42"/>
  <c r="K414" i="42"/>
  <c r="J414" i="42"/>
  <c r="P413" i="42"/>
  <c r="O413" i="42"/>
  <c r="L413" i="42"/>
  <c r="P412" i="42"/>
  <c r="O412" i="42"/>
  <c r="L412" i="42"/>
  <c r="P411" i="42"/>
  <c r="O411" i="42"/>
  <c r="L411" i="42"/>
  <c r="P410" i="42"/>
  <c r="O410" i="42"/>
  <c r="L410" i="42"/>
  <c r="P409" i="42"/>
  <c r="O409" i="42"/>
  <c r="L409" i="42"/>
  <c r="P408" i="42"/>
  <c r="O408" i="42"/>
  <c r="L408" i="42"/>
  <c r="P407" i="42"/>
  <c r="O407" i="42"/>
  <c r="L407" i="42"/>
  <c r="P406" i="42"/>
  <c r="O406" i="42"/>
  <c r="L406" i="42"/>
  <c r="P405" i="42"/>
  <c r="O405" i="42"/>
  <c r="L405" i="42"/>
  <c r="P404" i="42"/>
  <c r="O404" i="42"/>
  <c r="L404" i="42"/>
  <c r="P403" i="42"/>
  <c r="O403" i="42"/>
  <c r="L403" i="42"/>
  <c r="P402" i="42"/>
  <c r="O402" i="42"/>
  <c r="L402" i="42"/>
  <c r="N400" i="42"/>
  <c r="N391" i="42" s="1"/>
  <c r="M400" i="42"/>
  <c r="M391" i="42" s="1"/>
  <c r="K400" i="42"/>
  <c r="K391" i="42" s="1"/>
  <c r="J400" i="42"/>
  <c r="J391" i="42" s="1"/>
  <c r="I400" i="42"/>
  <c r="I391" i="42" s="1"/>
  <c r="P399" i="42"/>
  <c r="O399" i="42"/>
  <c r="L399" i="42"/>
  <c r="P398" i="42"/>
  <c r="O398" i="42"/>
  <c r="L398" i="42"/>
  <c r="P397" i="42"/>
  <c r="O397" i="42"/>
  <c r="L397" i="42"/>
  <c r="H397" i="42"/>
  <c r="H400" i="42" s="1"/>
  <c r="H391" i="42" s="1"/>
  <c r="P396" i="42"/>
  <c r="O396" i="42"/>
  <c r="L396" i="42"/>
  <c r="P395" i="42"/>
  <c r="O395" i="42"/>
  <c r="L395" i="42"/>
  <c r="P394" i="42"/>
  <c r="O394" i="42"/>
  <c r="L394" i="42"/>
  <c r="P393" i="42"/>
  <c r="O393" i="42"/>
  <c r="L393" i="42"/>
  <c r="P392" i="42"/>
  <c r="O392" i="42"/>
  <c r="N389" i="42"/>
  <c r="M389" i="42"/>
  <c r="K389" i="42"/>
  <c r="J389" i="42"/>
  <c r="I389" i="42"/>
  <c r="H389" i="42"/>
  <c r="P388" i="42"/>
  <c r="O388" i="42"/>
  <c r="L388" i="42"/>
  <c r="L389" i="42" s="1"/>
  <c r="P387" i="42"/>
  <c r="O387" i="42"/>
  <c r="N386" i="42"/>
  <c r="M386" i="42"/>
  <c r="K386" i="42"/>
  <c r="J386" i="42"/>
  <c r="I386" i="42"/>
  <c r="H386" i="42"/>
  <c r="P385" i="42"/>
  <c r="O385" i="42"/>
  <c r="L385" i="42"/>
  <c r="P384" i="42"/>
  <c r="O384" i="42"/>
  <c r="L384" i="42"/>
  <c r="P383" i="42"/>
  <c r="O383" i="42"/>
  <c r="L383" i="42"/>
  <c r="P382" i="42"/>
  <c r="O382" i="42"/>
  <c r="L382" i="42"/>
  <c r="N381" i="42"/>
  <c r="M381" i="42"/>
  <c r="K381" i="42"/>
  <c r="J381" i="42"/>
  <c r="I381" i="42"/>
  <c r="H381" i="42"/>
  <c r="P380" i="42"/>
  <c r="O380" i="42"/>
  <c r="L380" i="42"/>
  <c r="P379" i="42"/>
  <c r="O379" i="42"/>
  <c r="L379" i="42"/>
  <c r="P378" i="42"/>
  <c r="O378" i="42"/>
  <c r="P377" i="42"/>
  <c r="O377" i="42"/>
  <c r="P376" i="42"/>
  <c r="O376" i="42"/>
  <c r="P375" i="42"/>
  <c r="O375" i="42"/>
  <c r="P374" i="42"/>
  <c r="O374" i="42"/>
  <c r="L374" i="42"/>
  <c r="N373" i="42"/>
  <c r="M373" i="42"/>
  <c r="K373" i="42"/>
  <c r="J373" i="42"/>
  <c r="I373" i="42"/>
  <c r="H373" i="42"/>
  <c r="P372" i="42"/>
  <c r="P373" i="42" s="1"/>
  <c r="O372" i="42"/>
  <c r="O373" i="42" s="1"/>
  <c r="L372" i="42"/>
  <c r="L373" i="42" s="1"/>
  <c r="N371" i="42"/>
  <c r="M371" i="42"/>
  <c r="K371" i="42"/>
  <c r="J371" i="42"/>
  <c r="I371" i="42"/>
  <c r="H371" i="42"/>
  <c r="P370" i="42"/>
  <c r="P371" i="42" s="1"/>
  <c r="O370" i="42"/>
  <c r="O371" i="42" s="1"/>
  <c r="L370" i="42"/>
  <c r="L371" i="42" s="1"/>
  <c r="N367" i="42"/>
  <c r="M367" i="42"/>
  <c r="L367" i="42"/>
  <c r="K367" i="42"/>
  <c r="J367" i="42"/>
  <c r="I367" i="42"/>
  <c r="H367" i="42"/>
  <c r="P366" i="42"/>
  <c r="O366" i="42"/>
  <c r="P365" i="42"/>
  <c r="O365" i="42"/>
  <c r="P364" i="42"/>
  <c r="O364" i="42"/>
  <c r="P363" i="42"/>
  <c r="O363" i="42"/>
  <c r="P362" i="42"/>
  <c r="O362" i="42"/>
  <c r="N361" i="42"/>
  <c r="M361" i="42"/>
  <c r="L361" i="42"/>
  <c r="K361" i="42"/>
  <c r="J361" i="42"/>
  <c r="I361" i="42"/>
  <c r="H361" i="42"/>
  <c r="P360" i="42"/>
  <c r="O360" i="42"/>
  <c r="P359" i="42"/>
  <c r="O359" i="42"/>
  <c r="P358" i="42"/>
  <c r="O358" i="42"/>
  <c r="P357" i="42"/>
  <c r="O357" i="42"/>
  <c r="N356" i="42"/>
  <c r="M356" i="42"/>
  <c r="L356" i="42"/>
  <c r="K356" i="42"/>
  <c r="J356" i="42"/>
  <c r="I356" i="42"/>
  <c r="H356" i="42"/>
  <c r="P355" i="42"/>
  <c r="O355" i="42"/>
  <c r="P354" i="42"/>
  <c r="O354" i="42"/>
  <c r="P353" i="42"/>
  <c r="O353" i="42"/>
  <c r="P352" i="42"/>
  <c r="O352" i="42"/>
  <c r="P351" i="42"/>
  <c r="O351" i="42"/>
  <c r="N350" i="42"/>
  <c r="M350" i="42"/>
  <c r="L350" i="42"/>
  <c r="K350" i="42"/>
  <c r="J350" i="42"/>
  <c r="I350" i="42"/>
  <c r="H350" i="42"/>
  <c r="P349" i="42"/>
  <c r="O349" i="42"/>
  <c r="O350" i="42" s="1"/>
  <c r="N348" i="42"/>
  <c r="M348" i="42"/>
  <c r="L348" i="42"/>
  <c r="K348" i="42"/>
  <c r="J348" i="42"/>
  <c r="I348" i="42"/>
  <c r="H348" i="42"/>
  <c r="P347" i="42"/>
  <c r="O347" i="42"/>
  <c r="P346" i="42"/>
  <c r="O346" i="42"/>
  <c r="P345" i="42"/>
  <c r="O345" i="42"/>
  <c r="P344" i="42"/>
  <c r="O344" i="42"/>
  <c r="P343" i="42"/>
  <c r="O343" i="42"/>
  <c r="P342" i="42"/>
  <c r="O342" i="42"/>
  <c r="P341" i="42"/>
  <c r="O341" i="42"/>
  <c r="P340" i="42"/>
  <c r="O340" i="42"/>
  <c r="P339" i="42"/>
  <c r="O339" i="42"/>
  <c r="N338" i="42"/>
  <c r="M338" i="42"/>
  <c r="L338" i="42"/>
  <c r="K338" i="42"/>
  <c r="J338" i="42"/>
  <c r="I338" i="42"/>
  <c r="H338" i="42"/>
  <c r="P337" i="42"/>
  <c r="O337" i="42"/>
  <c r="O338" i="42" s="1"/>
  <c r="N336" i="42"/>
  <c r="M336" i="42"/>
  <c r="L336" i="42"/>
  <c r="K336" i="42"/>
  <c r="J336" i="42"/>
  <c r="I336" i="42"/>
  <c r="H336" i="42"/>
  <c r="P334" i="42"/>
  <c r="O334" i="42"/>
  <c r="P333" i="42"/>
  <c r="O333" i="42"/>
  <c r="P332" i="42"/>
  <c r="O332" i="42"/>
  <c r="P327" i="42"/>
  <c r="P328" i="42" s="1"/>
  <c r="O327" i="42"/>
  <c r="O328" i="42" s="1"/>
  <c r="P325" i="42"/>
  <c r="O325" i="42"/>
  <c r="P324" i="42"/>
  <c r="O324" i="42"/>
  <c r="L324" i="42"/>
  <c r="P323" i="42"/>
  <c r="O323" i="42"/>
  <c r="L323" i="42"/>
  <c r="P322" i="42"/>
  <c r="O322" i="42"/>
  <c r="L322" i="42"/>
  <c r="N321" i="42"/>
  <c r="M321" i="42"/>
  <c r="K321" i="42"/>
  <c r="J321" i="42"/>
  <c r="I321" i="42"/>
  <c r="H321" i="42"/>
  <c r="P320" i="42"/>
  <c r="O320" i="42"/>
  <c r="L320" i="42"/>
  <c r="P319" i="42"/>
  <c r="O319" i="42"/>
  <c r="L319" i="42"/>
  <c r="P318" i="42"/>
  <c r="O318" i="42"/>
  <c r="L318" i="42"/>
  <c r="P317" i="42"/>
  <c r="O317" i="42"/>
  <c r="L317" i="42"/>
  <c r="P316" i="42"/>
  <c r="O316" i="42"/>
  <c r="L316" i="42"/>
  <c r="P315" i="42"/>
  <c r="O315" i="42"/>
  <c r="N314" i="42"/>
  <c r="M314" i="42"/>
  <c r="K314" i="42"/>
  <c r="J314" i="42"/>
  <c r="H314" i="42"/>
  <c r="P313" i="42"/>
  <c r="O313" i="42"/>
  <c r="L313" i="42"/>
  <c r="I313" i="42"/>
  <c r="P312" i="42"/>
  <c r="O312" i="42"/>
  <c r="L312" i="42"/>
  <c r="P311" i="42"/>
  <c r="O311" i="42"/>
  <c r="L311" i="42"/>
  <c r="P310" i="42"/>
  <c r="O310" i="42"/>
  <c r="L310" i="42"/>
  <c r="P309" i="42"/>
  <c r="O309" i="42"/>
  <c r="L309" i="42"/>
  <c r="I309" i="42"/>
  <c r="N308" i="42"/>
  <c r="M308" i="42"/>
  <c r="L308" i="42"/>
  <c r="K308" i="42"/>
  <c r="J308" i="42"/>
  <c r="I308" i="42"/>
  <c r="H308" i="42"/>
  <c r="P307" i="42"/>
  <c r="P308" i="42" s="1"/>
  <c r="O307" i="42"/>
  <c r="O308" i="42" s="1"/>
  <c r="N306" i="42"/>
  <c r="M306" i="42"/>
  <c r="L306" i="42"/>
  <c r="K306" i="42"/>
  <c r="J306" i="42"/>
  <c r="I306" i="42"/>
  <c r="H306" i="42"/>
  <c r="P305" i="42"/>
  <c r="O305" i="42"/>
  <c r="P304" i="42"/>
  <c r="O304" i="42"/>
  <c r="P303" i="42"/>
  <c r="O303" i="42"/>
  <c r="P302" i="42"/>
  <c r="O302" i="42"/>
  <c r="P301" i="42"/>
  <c r="O301" i="42"/>
  <c r="P300" i="42"/>
  <c r="O300" i="42"/>
  <c r="P299" i="42"/>
  <c r="O299" i="42"/>
  <c r="P298" i="42"/>
  <c r="O298" i="42"/>
  <c r="P297" i="42"/>
  <c r="O297" i="42"/>
  <c r="P296" i="42"/>
  <c r="O296" i="42"/>
  <c r="P295" i="42"/>
  <c r="O295" i="42"/>
  <c r="P294" i="42"/>
  <c r="O294" i="42"/>
  <c r="P293" i="42"/>
  <c r="O293" i="42"/>
  <c r="P292" i="42"/>
  <c r="O292" i="42"/>
  <c r="P291" i="42"/>
  <c r="O291" i="42"/>
  <c r="P290" i="42"/>
  <c r="O290" i="42"/>
  <c r="P289" i="42"/>
  <c r="O289" i="42"/>
  <c r="N288" i="42"/>
  <c r="M288" i="42"/>
  <c r="L288" i="42"/>
  <c r="K288" i="42"/>
  <c r="J288" i="42"/>
  <c r="H288" i="42"/>
  <c r="P287" i="42"/>
  <c r="O287" i="42"/>
  <c r="P286" i="42"/>
  <c r="O286" i="42"/>
  <c r="P285" i="42"/>
  <c r="O285" i="42"/>
  <c r="N282" i="42"/>
  <c r="M282" i="42"/>
  <c r="L282" i="42"/>
  <c r="K282" i="42"/>
  <c r="J282" i="42"/>
  <c r="I282" i="42"/>
  <c r="H282" i="42"/>
  <c r="P281" i="42"/>
  <c r="O281" i="42"/>
  <c r="N280" i="42"/>
  <c r="M280" i="42"/>
  <c r="L280" i="42"/>
  <c r="K280" i="42"/>
  <c r="J280" i="42"/>
  <c r="I280" i="42"/>
  <c r="H280" i="42"/>
  <c r="P279" i="42"/>
  <c r="O279" i="42"/>
  <c r="P278" i="42"/>
  <c r="O278" i="42"/>
  <c r="P277" i="42"/>
  <c r="O277" i="42"/>
  <c r="O280" i="42" s="1"/>
  <c r="N276" i="42"/>
  <c r="M276" i="42"/>
  <c r="K276" i="42"/>
  <c r="J276" i="42"/>
  <c r="I276" i="42"/>
  <c r="H276" i="42"/>
  <c r="P275" i="42"/>
  <c r="O275" i="42"/>
  <c r="L275" i="42"/>
  <c r="P274" i="42"/>
  <c r="O274" i="42"/>
  <c r="L274" i="42"/>
  <c r="P273" i="42"/>
  <c r="O273" i="42"/>
  <c r="L273" i="42"/>
  <c r="N272" i="42"/>
  <c r="M272" i="42"/>
  <c r="K272" i="42"/>
  <c r="J272" i="42"/>
  <c r="I272" i="42"/>
  <c r="H272" i="42"/>
  <c r="P271" i="42"/>
  <c r="O271" i="42"/>
  <c r="L271" i="42"/>
  <c r="P270" i="42"/>
  <c r="O270" i="42"/>
  <c r="L270" i="42"/>
  <c r="P269" i="42"/>
  <c r="O269" i="42"/>
  <c r="L269" i="42"/>
  <c r="P268" i="42"/>
  <c r="O268" i="42"/>
  <c r="L268" i="42"/>
  <c r="N267" i="42"/>
  <c r="M267" i="42"/>
  <c r="L267" i="42"/>
  <c r="K267" i="42"/>
  <c r="J267" i="42"/>
  <c r="I267" i="42"/>
  <c r="H267" i="42"/>
  <c r="P266" i="42"/>
  <c r="P267" i="42" s="1"/>
  <c r="O266" i="42"/>
  <c r="O267" i="42" s="1"/>
  <c r="N265" i="42"/>
  <c r="M265" i="42"/>
  <c r="L265" i="42"/>
  <c r="K265" i="42"/>
  <c r="J265" i="42"/>
  <c r="I265" i="42"/>
  <c r="H265" i="42"/>
  <c r="P264" i="42"/>
  <c r="O264" i="42"/>
  <c r="P263" i="42"/>
  <c r="O263" i="42"/>
  <c r="P262" i="42"/>
  <c r="O262" i="42"/>
  <c r="P261" i="42"/>
  <c r="O261" i="42"/>
  <c r="P260" i="42"/>
  <c r="O260" i="42"/>
  <c r="P259" i="42"/>
  <c r="O259" i="42"/>
  <c r="P258" i="42"/>
  <c r="O258" i="42"/>
  <c r="P257" i="42"/>
  <c r="O257" i="42"/>
  <c r="N256" i="42"/>
  <c r="M256" i="42"/>
  <c r="L256" i="42"/>
  <c r="K256" i="42"/>
  <c r="J256" i="42"/>
  <c r="I256" i="42"/>
  <c r="H256" i="42"/>
  <c r="P255" i="42"/>
  <c r="O255" i="42"/>
  <c r="N253" i="42"/>
  <c r="M253" i="42"/>
  <c r="K253" i="42"/>
  <c r="J253" i="42"/>
  <c r="P252" i="42"/>
  <c r="O252" i="42"/>
  <c r="L252" i="42"/>
  <c r="P251" i="42"/>
  <c r="O251" i="42"/>
  <c r="L251" i="42"/>
  <c r="P250" i="42"/>
  <c r="O250" i="42"/>
  <c r="L250" i="42"/>
  <c r="P249" i="42"/>
  <c r="O249" i="42"/>
  <c r="L249" i="42"/>
  <c r="P248" i="42"/>
  <c r="O248" i="42"/>
  <c r="L248" i="42"/>
  <c r="P247" i="42"/>
  <c r="O247" i="42"/>
  <c r="P246" i="42"/>
  <c r="O246" i="42"/>
  <c r="L246" i="42"/>
  <c r="P245" i="42"/>
  <c r="O245" i="42"/>
  <c r="L245" i="42"/>
  <c r="P244" i="42"/>
  <c r="O244" i="42"/>
  <c r="P243" i="42"/>
  <c r="O243" i="42"/>
  <c r="P236" i="42"/>
  <c r="O236" i="42"/>
  <c r="M235" i="42"/>
  <c r="K235" i="42"/>
  <c r="J235" i="42"/>
  <c r="P230" i="42"/>
  <c r="O230" i="42"/>
  <c r="P229" i="42"/>
  <c r="O229" i="42"/>
  <c r="N228" i="42"/>
  <c r="M228" i="42"/>
  <c r="K228" i="42"/>
  <c r="J228" i="42"/>
  <c r="P227" i="42"/>
  <c r="O227" i="42"/>
  <c r="L227" i="42"/>
  <c r="P226" i="42"/>
  <c r="O226" i="42"/>
  <c r="L226" i="42"/>
  <c r="P225" i="42"/>
  <c r="O225" i="42"/>
  <c r="L225" i="42"/>
  <c r="P224" i="42"/>
  <c r="O224" i="42"/>
  <c r="L224" i="42"/>
  <c r="P223" i="42"/>
  <c r="O223" i="42"/>
  <c r="L223" i="42"/>
  <c r="P222" i="42"/>
  <c r="O222" i="42"/>
  <c r="L222" i="42"/>
  <c r="P221" i="42"/>
  <c r="O221" i="42"/>
  <c r="L221" i="42"/>
  <c r="N220" i="42"/>
  <c r="M220" i="42"/>
  <c r="K220" i="42"/>
  <c r="J220" i="42"/>
  <c r="P219" i="42"/>
  <c r="O219" i="42"/>
  <c r="P218" i="42"/>
  <c r="O218" i="42"/>
  <c r="L218" i="42"/>
  <c r="P217" i="42"/>
  <c r="O217" i="42"/>
  <c r="L217" i="42"/>
  <c r="P216" i="42"/>
  <c r="O216" i="42"/>
  <c r="P215" i="42"/>
  <c r="O215" i="42"/>
  <c r="L215" i="42"/>
  <c r="P214" i="42"/>
  <c r="O214" i="42"/>
  <c r="L214" i="42"/>
  <c r="P213" i="42"/>
  <c r="O213" i="42"/>
  <c r="L213" i="42"/>
  <c r="N212" i="42"/>
  <c r="M212" i="42"/>
  <c r="K212" i="42"/>
  <c r="J212" i="42"/>
  <c r="L212" i="42"/>
  <c r="N196" i="42"/>
  <c r="M196" i="42"/>
  <c r="L196" i="42"/>
  <c r="K196" i="42"/>
  <c r="J196" i="42"/>
  <c r="I196" i="42"/>
  <c r="H196" i="42"/>
  <c r="P195" i="42"/>
  <c r="O195" i="42"/>
  <c r="P194" i="42"/>
  <c r="O194" i="42"/>
  <c r="P193" i="42"/>
  <c r="O193" i="42"/>
  <c r="P192" i="42"/>
  <c r="O192" i="42"/>
  <c r="N191" i="42"/>
  <c r="M191" i="42"/>
  <c r="K191" i="42"/>
  <c r="J191" i="42"/>
  <c r="I191" i="42"/>
  <c r="H191" i="42"/>
  <c r="L190" i="42"/>
  <c r="L191" i="42" s="1"/>
  <c r="P189" i="42"/>
  <c r="P191" i="42" s="1"/>
  <c r="O189" i="42"/>
  <c r="O191" i="42" s="1"/>
  <c r="N188" i="42"/>
  <c r="M188" i="42"/>
  <c r="K188" i="42"/>
  <c r="J188" i="42"/>
  <c r="P187" i="42"/>
  <c r="O187" i="42"/>
  <c r="L187" i="42"/>
  <c r="P186" i="42"/>
  <c r="O186" i="42"/>
  <c r="P185" i="42"/>
  <c r="O185" i="42"/>
  <c r="P184" i="42"/>
  <c r="O184" i="42"/>
  <c r="P183" i="42"/>
  <c r="O183" i="42"/>
  <c r="P182" i="42"/>
  <c r="O182" i="42"/>
  <c r="P180" i="42"/>
  <c r="O180" i="42"/>
  <c r="P179" i="42"/>
  <c r="O179" i="42"/>
  <c r="P178" i="42"/>
  <c r="O178" i="42"/>
  <c r="P177" i="42"/>
  <c r="O177" i="42"/>
  <c r="P176" i="42"/>
  <c r="O176" i="42"/>
  <c r="P175" i="42"/>
  <c r="O175" i="42"/>
  <c r="P174" i="42"/>
  <c r="O174" i="42"/>
  <c r="P173" i="42"/>
  <c r="O173" i="42"/>
  <c r="P172" i="42"/>
  <c r="O172" i="42"/>
  <c r="P171" i="42"/>
  <c r="O171" i="42"/>
  <c r="L171" i="42"/>
  <c r="P170" i="42"/>
  <c r="O170" i="42"/>
  <c r="L170" i="42"/>
  <c r="P169" i="42"/>
  <c r="O169" i="42"/>
  <c r="L169" i="42"/>
  <c r="P168" i="42"/>
  <c r="O168" i="42"/>
  <c r="L168" i="42"/>
  <c r="P167" i="42"/>
  <c r="O167" i="42"/>
  <c r="P166" i="42"/>
  <c r="O166" i="42"/>
  <c r="P165" i="42"/>
  <c r="O165" i="42"/>
  <c r="P164" i="42"/>
  <c r="O164" i="42"/>
  <c r="P163" i="42"/>
  <c r="O163" i="42"/>
  <c r="P162" i="42"/>
  <c r="O162" i="42"/>
  <c r="P161" i="42"/>
  <c r="O161" i="42"/>
  <c r="P160" i="42"/>
  <c r="O160" i="42"/>
  <c r="L160" i="42"/>
  <c r="P159" i="42"/>
  <c r="O159" i="42"/>
  <c r="P158" i="42"/>
  <c r="O158" i="42"/>
  <c r="P157" i="42"/>
  <c r="O157" i="42"/>
  <c r="P156" i="42"/>
  <c r="O156" i="42"/>
  <c r="P155" i="42"/>
  <c r="O155" i="42"/>
  <c r="P154" i="42"/>
  <c r="O154" i="42"/>
  <c r="P153" i="42"/>
  <c r="O153" i="42"/>
  <c r="L153" i="42"/>
  <c r="P152" i="42"/>
  <c r="O152" i="42"/>
  <c r="P151" i="42"/>
  <c r="O151" i="42"/>
  <c r="P150" i="42"/>
  <c r="O150" i="42"/>
  <c r="L150" i="42"/>
  <c r="P149" i="42"/>
  <c r="O149" i="42"/>
  <c r="P148" i="42"/>
  <c r="O148" i="42"/>
  <c r="P147" i="42"/>
  <c r="O147" i="42"/>
  <c r="P146" i="42"/>
  <c r="O146" i="42"/>
  <c r="L146" i="42"/>
  <c r="P145" i="42"/>
  <c r="O145" i="42"/>
  <c r="P144" i="42"/>
  <c r="O144" i="42"/>
  <c r="N143" i="42"/>
  <c r="M143" i="42"/>
  <c r="K143" i="42"/>
  <c r="J143" i="42"/>
  <c r="P142" i="42"/>
  <c r="O142" i="42"/>
  <c r="P141" i="42"/>
  <c r="O141" i="42"/>
  <c r="L141" i="42"/>
  <c r="P140" i="42"/>
  <c r="O140" i="42"/>
  <c r="P139" i="42"/>
  <c r="O139" i="42"/>
  <c r="L139" i="42"/>
  <c r="P138" i="42"/>
  <c r="O138" i="42"/>
  <c r="L138" i="42"/>
  <c r="N137" i="42"/>
  <c r="M137" i="42"/>
  <c r="K137" i="42"/>
  <c r="J137" i="42"/>
  <c r="P136" i="42"/>
  <c r="O136" i="42"/>
  <c r="P135" i="42"/>
  <c r="O135" i="42"/>
  <c r="P134" i="42"/>
  <c r="O134" i="42"/>
  <c r="P133" i="42"/>
  <c r="O133" i="42"/>
  <c r="P132" i="42"/>
  <c r="P137" i="42" s="1"/>
  <c r="O132" i="42"/>
  <c r="L132" i="42"/>
  <c r="L137" i="42" s="1"/>
  <c r="N131" i="42"/>
  <c r="M131" i="42"/>
  <c r="K131" i="42"/>
  <c r="J131" i="42"/>
  <c r="P130" i="42"/>
  <c r="O130" i="42"/>
  <c r="P129" i="42"/>
  <c r="O129" i="42"/>
  <c r="P128" i="42"/>
  <c r="O128" i="42"/>
  <c r="P127" i="42"/>
  <c r="O127" i="42"/>
  <c r="P126" i="42"/>
  <c r="O126" i="42"/>
  <c r="L126" i="42"/>
  <c r="P125" i="42"/>
  <c r="O125" i="42"/>
  <c r="P124" i="42"/>
  <c r="O124" i="42"/>
  <c r="P123" i="42"/>
  <c r="O123" i="42"/>
  <c r="P122" i="42"/>
  <c r="O122" i="42"/>
  <c r="P121" i="42"/>
  <c r="O121" i="42"/>
  <c r="P120" i="42"/>
  <c r="O120" i="42"/>
  <c r="P119" i="42"/>
  <c r="O119" i="42"/>
  <c r="P118" i="42"/>
  <c r="O118" i="42"/>
  <c r="L118" i="42"/>
  <c r="P117" i="42"/>
  <c r="O117" i="42"/>
  <c r="L117" i="42"/>
  <c r="P114" i="42"/>
  <c r="O114" i="42"/>
  <c r="L114" i="42"/>
  <c r="N113" i="42"/>
  <c r="M113" i="42"/>
  <c r="K113" i="42"/>
  <c r="J113" i="42"/>
  <c r="P112" i="42"/>
  <c r="O112" i="42"/>
  <c r="L112" i="42"/>
  <c r="P111" i="42"/>
  <c r="O111" i="42"/>
  <c r="L111" i="42"/>
  <c r="P110" i="42"/>
  <c r="O110" i="42"/>
  <c r="L110" i="42"/>
  <c r="P109" i="42"/>
  <c r="O109" i="42"/>
  <c r="L109" i="42"/>
  <c r="P108" i="42"/>
  <c r="O108" i="42"/>
  <c r="L108" i="42"/>
  <c r="P107" i="42"/>
  <c r="O107" i="42"/>
  <c r="L107" i="42"/>
  <c r="N106" i="42"/>
  <c r="M106" i="42"/>
  <c r="L106" i="42"/>
  <c r="K106" i="42"/>
  <c r="J106" i="42"/>
  <c r="I106" i="42"/>
  <c r="P105" i="42"/>
  <c r="P106" i="42" s="1"/>
  <c r="O105" i="42"/>
  <c r="O106" i="42" s="1"/>
  <c r="N104" i="42"/>
  <c r="M104" i="42"/>
  <c r="K104" i="42"/>
  <c r="J104" i="42"/>
  <c r="P103" i="42"/>
  <c r="O103" i="42"/>
  <c r="P102" i="42"/>
  <c r="O102" i="42"/>
  <c r="P101" i="42"/>
  <c r="O101" i="42"/>
  <c r="P100" i="42"/>
  <c r="O100" i="42"/>
  <c r="P99" i="42"/>
  <c r="O99" i="42"/>
  <c r="P98" i="42"/>
  <c r="O98" i="42"/>
  <c r="P97" i="42"/>
  <c r="O97" i="42"/>
  <c r="P96" i="42"/>
  <c r="O96" i="42"/>
  <c r="L96" i="42"/>
  <c r="P95" i="42"/>
  <c r="O95" i="42"/>
  <c r="L95" i="42"/>
  <c r="P94" i="42"/>
  <c r="O94" i="42"/>
  <c r="L94" i="42"/>
  <c r="P93" i="42"/>
  <c r="O93" i="42"/>
  <c r="P92" i="42"/>
  <c r="O92" i="42"/>
  <c r="P91" i="42"/>
  <c r="O91" i="42"/>
  <c r="P90" i="42"/>
  <c r="O90" i="42"/>
  <c r="P89" i="42"/>
  <c r="O89" i="42"/>
  <c r="P88" i="42"/>
  <c r="O88" i="42"/>
  <c r="P87" i="42"/>
  <c r="O87" i="42"/>
  <c r="P86" i="42"/>
  <c r="O86" i="42"/>
  <c r="L86" i="42"/>
  <c r="P85" i="42"/>
  <c r="O85" i="42"/>
  <c r="L85" i="42"/>
  <c r="P84" i="42"/>
  <c r="O84" i="42"/>
  <c r="L84" i="42"/>
  <c r="P83" i="42"/>
  <c r="O83" i="42"/>
  <c r="P82" i="42"/>
  <c r="O82" i="42"/>
  <c r="P81" i="42"/>
  <c r="O81" i="42"/>
  <c r="P80" i="42"/>
  <c r="O80" i="42"/>
  <c r="P79" i="42"/>
  <c r="O79" i="42"/>
  <c r="P78" i="42"/>
  <c r="O78" i="42"/>
  <c r="P77" i="42"/>
  <c r="O77" i="42"/>
  <c r="P76" i="42"/>
  <c r="O76" i="42"/>
  <c r="L76" i="42"/>
  <c r="P75" i="42"/>
  <c r="O75" i="42"/>
  <c r="L75" i="42"/>
  <c r="P74" i="42"/>
  <c r="O74" i="42"/>
  <c r="L74" i="42"/>
  <c r="P73" i="42"/>
  <c r="O73" i="42"/>
  <c r="P72" i="42"/>
  <c r="O72" i="42"/>
  <c r="P71" i="42"/>
  <c r="O71" i="42"/>
  <c r="P70" i="42"/>
  <c r="O70" i="42"/>
  <c r="P69" i="42"/>
  <c r="O69" i="42"/>
  <c r="P68" i="42"/>
  <c r="O68" i="42"/>
  <c r="P67" i="42"/>
  <c r="O67" i="42"/>
  <c r="P66" i="42"/>
  <c r="O66" i="42"/>
  <c r="L66" i="42"/>
  <c r="P65" i="42"/>
  <c r="O65" i="42"/>
  <c r="L65" i="42"/>
  <c r="P64" i="42"/>
  <c r="O64" i="42"/>
  <c r="L64" i="42"/>
  <c r="P63" i="42"/>
  <c r="O63" i="42"/>
  <c r="P62" i="42"/>
  <c r="O62" i="42"/>
  <c r="P61" i="42"/>
  <c r="O61" i="42"/>
  <c r="P60" i="42"/>
  <c r="O60" i="42"/>
  <c r="P59" i="42"/>
  <c r="O59" i="42"/>
  <c r="P58" i="42"/>
  <c r="O58" i="42"/>
  <c r="P57" i="42"/>
  <c r="O57" i="42"/>
  <c r="P56" i="42"/>
  <c r="O56" i="42"/>
  <c r="L56" i="42"/>
  <c r="P55" i="42"/>
  <c r="O55" i="42"/>
  <c r="L55" i="42"/>
  <c r="P54" i="42"/>
  <c r="O54" i="42"/>
  <c r="L54" i="42"/>
  <c r="P53" i="42"/>
  <c r="O53" i="42"/>
  <c r="P52" i="42"/>
  <c r="O52" i="42"/>
  <c r="P51" i="42"/>
  <c r="O51" i="42"/>
  <c r="P50" i="42"/>
  <c r="O50" i="42"/>
  <c r="P49" i="42"/>
  <c r="O49" i="42"/>
  <c r="P48" i="42"/>
  <c r="O48" i="42"/>
  <c r="P47" i="42"/>
  <c r="O47" i="42"/>
  <c r="P46" i="42"/>
  <c r="O46" i="42"/>
  <c r="L46" i="42"/>
  <c r="P45" i="42"/>
  <c r="O45" i="42"/>
  <c r="L45" i="42"/>
  <c r="P44" i="42"/>
  <c r="O44" i="42"/>
  <c r="L44" i="42"/>
  <c r="P43" i="42"/>
  <c r="O43" i="42"/>
  <c r="L43" i="42"/>
  <c r="P42" i="42"/>
  <c r="O42" i="42"/>
  <c r="P41" i="42"/>
  <c r="O41" i="42"/>
  <c r="P40" i="42"/>
  <c r="O40" i="42"/>
  <c r="P39" i="42"/>
  <c r="O39" i="42"/>
  <c r="P38" i="42"/>
  <c r="O38" i="42"/>
  <c r="P37" i="42"/>
  <c r="O37" i="42"/>
  <c r="P36" i="42"/>
  <c r="O36" i="42"/>
  <c r="P35" i="42"/>
  <c r="O35" i="42"/>
  <c r="L35" i="42"/>
  <c r="P34" i="42"/>
  <c r="O34" i="42"/>
  <c r="L34" i="42"/>
  <c r="P33" i="42"/>
  <c r="O33" i="42"/>
  <c r="P32" i="42"/>
  <c r="O32" i="42"/>
  <c r="P31" i="42"/>
  <c r="O31" i="42"/>
  <c r="P30" i="42"/>
  <c r="O30" i="42"/>
  <c r="P29" i="42"/>
  <c r="O29" i="42"/>
  <c r="L29" i="42"/>
  <c r="P28" i="42"/>
  <c r="O28" i="42"/>
  <c r="L28" i="42"/>
  <c r="P27" i="42"/>
  <c r="O27" i="42"/>
  <c r="L27" i="42"/>
  <c r="P26" i="42"/>
  <c r="O26" i="42"/>
  <c r="P25" i="42"/>
  <c r="O25" i="42"/>
  <c r="P24" i="42"/>
  <c r="O24" i="42"/>
  <c r="P23" i="42"/>
  <c r="O23" i="42"/>
  <c r="P22" i="42"/>
  <c r="O22" i="42"/>
  <c r="P21" i="42"/>
  <c r="O21" i="42"/>
  <c r="P20" i="42"/>
  <c r="O20" i="42"/>
  <c r="L20" i="42"/>
  <c r="P19" i="42"/>
  <c r="O19" i="42"/>
  <c r="L19" i="42"/>
  <c r="N18" i="42"/>
  <c r="M18" i="42"/>
  <c r="K18" i="42"/>
  <c r="J18" i="42"/>
  <c r="I18" i="42"/>
  <c r="H18" i="42"/>
  <c r="P17" i="42"/>
  <c r="O17" i="42"/>
  <c r="P16" i="42"/>
  <c r="O16" i="42"/>
  <c r="P15" i="42"/>
  <c r="O15" i="42"/>
  <c r="P14" i="42"/>
  <c r="O14" i="42"/>
  <c r="P13" i="42"/>
  <c r="O13" i="42"/>
  <c r="P12" i="42"/>
  <c r="O12" i="42"/>
  <c r="P11" i="42"/>
  <c r="O11" i="42"/>
  <c r="P10" i="42"/>
  <c r="O10" i="42"/>
  <c r="P9" i="42"/>
  <c r="O9" i="42"/>
  <c r="P8" i="42"/>
  <c r="O8" i="42"/>
  <c r="P7" i="42"/>
  <c r="O7" i="42"/>
  <c r="P6" i="42"/>
  <c r="O6" i="42"/>
  <c r="P5" i="42"/>
  <c r="O5" i="42"/>
  <c r="P4" i="42"/>
  <c r="O4" i="42"/>
  <c r="L4" i="42"/>
  <c r="P3" i="42"/>
  <c r="O3" i="42"/>
  <c r="L3" i="42"/>
  <c r="H545" i="42" l="1"/>
  <c r="O336" i="42"/>
  <c r="O367" i="42"/>
  <c r="P466" i="42"/>
  <c r="P508" i="42"/>
  <c r="P769" i="42"/>
  <c r="P834" i="42"/>
  <c r="P837" i="42"/>
  <c r="P842" i="42"/>
  <c r="O356" i="42"/>
  <c r="O462" i="42"/>
  <c r="P336" i="42"/>
  <c r="P331" i="42" s="1"/>
  <c r="O458" i="42"/>
  <c r="P462" i="42"/>
  <c r="O474" i="42"/>
  <c r="O751" i="42"/>
  <c r="O857" i="42"/>
  <c r="O866" i="42"/>
  <c r="P280" i="42"/>
  <c r="J329" i="42"/>
  <c r="N329" i="42"/>
  <c r="K329" i="42"/>
  <c r="O326" i="42"/>
  <c r="O939" i="42"/>
  <c r="O951" i="42"/>
  <c r="H329" i="42"/>
  <c r="H284" i="42" s="1"/>
  <c r="M329" i="42"/>
  <c r="P326" i="42"/>
  <c r="L326" i="42"/>
  <c r="O944" i="42"/>
  <c r="O196" i="42"/>
  <c r="O288" i="42"/>
  <c r="O306" i="42"/>
  <c r="O348" i="42"/>
  <c r="O454" i="42"/>
  <c r="P458" i="42"/>
  <c r="O470" i="42"/>
  <c r="P474" i="42"/>
  <c r="O498" i="42"/>
  <c r="O533" i="42"/>
  <c r="O596" i="42"/>
  <c r="O608" i="42"/>
  <c r="P751" i="42"/>
  <c r="P857" i="42"/>
  <c r="P866" i="42"/>
  <c r="P886" i="42"/>
  <c r="P918" i="42"/>
  <c r="P927" i="42"/>
  <c r="O1058" i="42"/>
  <c r="N747" i="42"/>
  <c r="O137" i="42"/>
  <c r="P196" i="42"/>
  <c r="O265" i="42"/>
  <c r="P288" i="42"/>
  <c r="O466" i="42"/>
  <c r="P470" i="42"/>
  <c r="P498" i="42"/>
  <c r="O508" i="42"/>
  <c r="P533" i="42"/>
  <c r="P596" i="42"/>
  <c r="P608" i="42"/>
  <c r="O769" i="42"/>
  <c r="O834" i="42"/>
  <c r="O837" i="42"/>
  <c r="O842" i="42"/>
  <c r="P1058" i="42"/>
  <c r="M747" i="42"/>
  <c r="I747" i="42"/>
  <c r="H813" i="42"/>
  <c r="H747" i="42" s="1"/>
  <c r="L732" i="42"/>
  <c r="L729" i="42" s="1"/>
  <c r="P732" i="42"/>
  <c r="P729" i="42" s="1"/>
  <c r="O732" i="42"/>
  <c r="O729" i="42" s="1"/>
  <c r="L610" i="42"/>
  <c r="L600" i="42" s="1"/>
  <c r="P531" i="42"/>
  <c r="O542" i="42"/>
  <c r="O536" i="42" s="1"/>
  <c r="P542" i="42"/>
  <c r="P536" i="42" s="1"/>
  <c r="P335" i="42"/>
  <c r="O531" i="42"/>
  <c r="O1100" i="42"/>
  <c r="I1009" i="42"/>
  <c r="N623" i="42"/>
  <c r="P795" i="42"/>
  <c r="O906" i="42"/>
  <c r="O910" i="42"/>
  <c r="L916" i="42"/>
  <c r="P916" i="42"/>
  <c r="O957" i="42"/>
  <c r="O1047" i="42"/>
  <c r="P1100" i="42"/>
  <c r="L803" i="42"/>
  <c r="L1047" i="42"/>
  <c r="L1009" i="42" s="1"/>
  <c r="P1047" i="42"/>
  <c r="P454" i="42"/>
  <c r="L18" i="42"/>
  <c r="P18" i="42"/>
  <c r="L104" i="42"/>
  <c r="P104" i="42"/>
  <c r="L657" i="42"/>
  <c r="M623" i="42"/>
  <c r="P852" i="42"/>
  <c r="O936" i="42"/>
  <c r="I958" i="42"/>
  <c r="I924" i="42" s="1"/>
  <c r="O812" i="42"/>
  <c r="P657" i="42"/>
  <c r="L663" i="42"/>
  <c r="P663" i="42"/>
  <c r="O779" i="42"/>
  <c r="O894" i="42"/>
  <c r="P803" i="42"/>
  <c r="O666" i="42"/>
  <c r="P982" i="42"/>
  <c r="O982" i="42"/>
  <c r="L957" i="42"/>
  <c r="L958" i="42" s="1"/>
  <c r="L924" i="42" s="1"/>
  <c r="P957" i="42"/>
  <c r="P936" i="42"/>
  <c r="O916" i="42"/>
  <c r="L910" i="42"/>
  <c r="P910" i="42"/>
  <c r="L906" i="42"/>
  <c r="P906" i="42"/>
  <c r="L894" i="42"/>
  <c r="P894" i="42"/>
  <c r="O877" i="42"/>
  <c r="P877" i="42"/>
  <c r="J475" i="42"/>
  <c r="N475" i="42"/>
  <c r="I623" i="42"/>
  <c r="H623" i="42"/>
  <c r="O212" i="42"/>
  <c r="J623" i="42"/>
  <c r="K623" i="42"/>
  <c r="O678" i="42"/>
  <c r="O798" i="42"/>
  <c r="O852" i="42"/>
  <c r="L812" i="42"/>
  <c r="P812" i="42"/>
  <c r="O803" i="42"/>
  <c r="L798" i="42"/>
  <c r="P798" i="42"/>
  <c r="L795" i="42"/>
  <c r="O795" i="42"/>
  <c r="L779" i="42"/>
  <c r="P779" i="42"/>
  <c r="O726" i="42"/>
  <c r="P726" i="42"/>
  <c r="L678" i="42"/>
  <c r="P678" i="42"/>
  <c r="L666" i="42"/>
  <c r="P666" i="42"/>
  <c r="O663" i="42"/>
  <c r="O657" i="42"/>
  <c r="O652" i="42"/>
  <c r="L652" i="42"/>
  <c r="P652" i="42"/>
  <c r="O613" i="42"/>
  <c r="O600" i="42" s="1"/>
  <c r="P613" i="42"/>
  <c r="P600" i="42" s="1"/>
  <c r="M475" i="42"/>
  <c r="I475" i="42"/>
  <c r="O361" i="42"/>
  <c r="P253" i="42"/>
  <c r="L381" i="42"/>
  <c r="P381" i="42"/>
  <c r="O386" i="42"/>
  <c r="P389" i="42"/>
  <c r="O400" i="42"/>
  <c r="O391" i="42" s="1"/>
  <c r="L400" i="42"/>
  <c r="L391" i="42" s="1"/>
  <c r="P436" i="42"/>
  <c r="O446" i="42"/>
  <c r="O450" i="42"/>
  <c r="O479" i="42"/>
  <c r="O484" i="42"/>
  <c r="L492" i="42"/>
  <c r="P492" i="42"/>
  <c r="L516" i="42"/>
  <c r="P516" i="42"/>
  <c r="O522" i="42"/>
  <c r="L531" i="42"/>
  <c r="O558" i="42"/>
  <c r="L566" i="42"/>
  <c r="O570" i="42"/>
  <c r="L576" i="42"/>
  <c r="P705" i="42"/>
  <c r="O718" i="42"/>
  <c r="O228" i="42"/>
  <c r="O272" i="42"/>
  <c r="O276" i="42"/>
  <c r="I314" i="42"/>
  <c r="O321" i="42"/>
  <c r="I558" i="42"/>
  <c r="I577" i="42" s="1"/>
  <c r="I545" i="42" s="1"/>
  <c r="P566" i="42"/>
  <c r="P576" i="42"/>
  <c r="P306" i="42"/>
  <c r="L321" i="42"/>
  <c r="P321" i="42"/>
  <c r="L314" i="42"/>
  <c r="P314" i="42"/>
  <c r="O381" i="42"/>
  <c r="L414" i="42"/>
  <c r="P414" i="42"/>
  <c r="O436" i="42"/>
  <c r="L436" i="42"/>
  <c r="O440" i="42"/>
  <c r="K446" i="42"/>
  <c r="K475" i="42" s="1"/>
  <c r="P446" i="42"/>
  <c r="L443" i="42"/>
  <c r="L446" i="42" s="1"/>
  <c r="L475" i="42" s="1"/>
  <c r="H450" i="42"/>
  <c r="H475" i="42" s="1"/>
  <c r="P450" i="42"/>
  <c r="L386" i="42"/>
  <c r="P386" i="42"/>
  <c r="O389" i="42"/>
  <c r="O516" i="42"/>
  <c r="L522" i="42"/>
  <c r="P522" i="42"/>
  <c r="P558" i="42"/>
  <c r="O566" i="42"/>
  <c r="L570" i="42"/>
  <c r="P570" i="42"/>
  <c r="O576" i="42"/>
  <c r="O705" i="42"/>
  <c r="L718" i="42"/>
  <c r="P718" i="42"/>
  <c r="P725" i="42"/>
  <c r="O253" i="42"/>
  <c r="O314" i="42"/>
  <c r="O414" i="42"/>
  <c r="M283" i="42"/>
  <c r="M254" i="42" s="1"/>
  <c r="K283" i="42"/>
  <c r="K254" i="42" s="1"/>
  <c r="I283" i="42"/>
  <c r="I254" i="42" s="1"/>
  <c r="J283" i="42"/>
  <c r="J254" i="42" s="1"/>
  <c r="N283" i="42"/>
  <c r="P265" i="42"/>
  <c r="O282" i="42"/>
  <c r="P282" i="42"/>
  <c r="P188" i="42"/>
  <c r="O220" i="42"/>
  <c r="L228" i="42"/>
  <c r="P228" i="42"/>
  <c r="J284" i="42"/>
  <c r="M284" i="42"/>
  <c r="I368" i="42"/>
  <c r="I335" i="42" s="1"/>
  <c r="K368" i="42"/>
  <c r="K335" i="42" s="1"/>
  <c r="M368" i="42"/>
  <c r="M335" i="42" s="1"/>
  <c r="H390" i="42"/>
  <c r="H369" i="42" s="1"/>
  <c r="J390" i="42"/>
  <c r="J369" i="42" s="1"/>
  <c r="M390" i="42"/>
  <c r="M369" i="42" s="1"/>
  <c r="P440" i="42"/>
  <c r="I493" i="42"/>
  <c r="I401" i="42" s="1"/>
  <c r="N493" i="42"/>
  <c r="N401" i="42" s="1"/>
  <c r="I532" i="42"/>
  <c r="I494" i="42" s="1"/>
  <c r="K532" i="42"/>
  <c r="K494" i="42" s="1"/>
  <c r="N532" i="42"/>
  <c r="N494" i="42" s="1"/>
  <c r="J577" i="42"/>
  <c r="J545" i="42" s="1"/>
  <c r="M577" i="42"/>
  <c r="M545" i="42" s="1"/>
  <c r="L705" i="42"/>
  <c r="K284" i="42"/>
  <c r="N284" i="42"/>
  <c r="H368" i="42"/>
  <c r="H335" i="42" s="1"/>
  <c r="J368" i="42"/>
  <c r="J335" i="42" s="1"/>
  <c r="L368" i="42"/>
  <c r="L335" i="42" s="1"/>
  <c r="N368" i="42"/>
  <c r="N335" i="42" s="1"/>
  <c r="I390" i="42"/>
  <c r="I369" i="42" s="1"/>
  <c r="K390" i="42"/>
  <c r="K369" i="42" s="1"/>
  <c r="N390" i="42"/>
  <c r="N369" i="42" s="1"/>
  <c r="P400" i="42"/>
  <c r="P391" i="42" s="1"/>
  <c r="L479" i="42"/>
  <c r="P479" i="42"/>
  <c r="L484" i="42"/>
  <c r="P484" i="42"/>
  <c r="O492" i="42"/>
  <c r="J532" i="42"/>
  <c r="J494" i="42" s="1"/>
  <c r="M532" i="42"/>
  <c r="M494" i="42" s="1"/>
  <c r="K577" i="42"/>
  <c r="K545" i="42" s="1"/>
  <c r="N577" i="42"/>
  <c r="N545" i="42" s="1"/>
  <c r="O725" i="42"/>
  <c r="L725" i="42"/>
  <c r="L276" i="42"/>
  <c r="P276" i="42"/>
  <c r="L272" i="42"/>
  <c r="P272" i="42"/>
  <c r="L253" i="42"/>
  <c r="L220" i="42"/>
  <c r="P220" i="42"/>
  <c r="P212" i="42"/>
  <c r="O131" i="42"/>
  <c r="O113" i="42"/>
  <c r="O143" i="42"/>
  <c r="O188" i="42"/>
  <c r="L188" i="42"/>
  <c r="L131" i="42"/>
  <c r="P131" i="42"/>
  <c r="L113" i="42"/>
  <c r="P113" i="42"/>
  <c r="O104" i="42"/>
  <c r="H577" i="42"/>
  <c r="H532" i="42"/>
  <c r="H494" i="42" s="1"/>
  <c r="H493" i="42"/>
  <c r="H401" i="42" s="1"/>
  <c r="J493" i="42"/>
  <c r="M493" i="42"/>
  <c r="M401" i="42" s="1"/>
  <c r="O368" i="42"/>
  <c r="O335" i="42" s="1"/>
  <c r="L143" i="42"/>
  <c r="P143" i="42"/>
  <c r="I197" i="42"/>
  <c r="I2" i="42" s="1"/>
  <c r="K197" i="42"/>
  <c r="K2" i="42" s="1"/>
  <c r="M197" i="42"/>
  <c r="M2" i="42" s="1"/>
  <c r="O18" i="42"/>
  <c r="H197" i="42"/>
  <c r="H2" i="42" s="1"/>
  <c r="J197" i="42"/>
  <c r="J2" i="42" s="1"/>
  <c r="N197" i="42"/>
  <c r="N2" i="42" s="1"/>
  <c r="O256" i="42"/>
  <c r="P256" i="42"/>
  <c r="L329" i="42" l="1"/>
  <c r="P329" i="42"/>
  <c r="P284" i="42" s="1"/>
  <c r="O329" i="42"/>
  <c r="K493" i="42"/>
  <c r="K401" i="42" s="1"/>
  <c r="P917" i="42"/>
  <c r="P874" i="42" s="1"/>
  <c r="P867" i="42"/>
  <c r="I329" i="42"/>
  <c r="I284" i="42" s="1"/>
  <c r="L283" i="42"/>
  <c r="L254" i="42" s="1"/>
  <c r="O867" i="42"/>
  <c r="L917" i="42"/>
  <c r="L874" i="42" s="1"/>
  <c r="O958" i="42"/>
  <c r="O924" i="42" s="1"/>
  <c r="N331" i="42"/>
  <c r="J331" i="42"/>
  <c r="O331" i="42"/>
  <c r="K331" i="42"/>
  <c r="L331" i="42"/>
  <c r="H331" i="42"/>
  <c r="M331" i="42"/>
  <c r="M1104" i="42" s="1"/>
  <c r="M1214" i="42" s="1"/>
  <c r="I331" i="42"/>
  <c r="P390" i="42"/>
  <c r="P369" i="42" s="1"/>
  <c r="P532" i="42"/>
  <c r="P494" i="42" s="1"/>
  <c r="L390" i="42"/>
  <c r="L369" i="42" s="1"/>
  <c r="L577" i="42"/>
  <c r="L545" i="42" s="1"/>
  <c r="O1009" i="42"/>
  <c r="P1009" i="42"/>
  <c r="J401" i="42"/>
  <c r="O390" i="42"/>
  <c r="O369" i="42" s="1"/>
  <c r="O679" i="42"/>
  <c r="O813" i="42"/>
  <c r="L813" i="42"/>
  <c r="L747" i="42" s="1"/>
  <c r="O917" i="42"/>
  <c r="O874" i="42" s="1"/>
  <c r="L679" i="42"/>
  <c r="L623" i="42" s="1"/>
  <c r="P958" i="42"/>
  <c r="P924" i="42" s="1"/>
  <c r="O623" i="42"/>
  <c r="P813" i="42"/>
  <c r="P747" i="42" s="1"/>
  <c r="P679" i="42"/>
  <c r="P623" i="42" s="1"/>
  <c r="P577" i="42"/>
  <c r="P545" i="42" s="1"/>
  <c r="O532" i="42"/>
  <c r="O494" i="42" s="1"/>
  <c r="O577" i="42"/>
  <c r="O545" i="42" s="1"/>
  <c r="L532" i="42"/>
  <c r="L494" i="42" s="1"/>
  <c r="L493" i="42"/>
  <c r="L401" i="42" s="1"/>
  <c r="P493" i="42"/>
  <c r="P475" i="42"/>
  <c r="O475" i="42"/>
  <c r="O493" i="42"/>
  <c r="O401" i="42" s="1"/>
  <c r="O284" i="42"/>
  <c r="N254" i="42"/>
  <c r="L284" i="42"/>
  <c r="O283" i="42"/>
  <c r="O254" i="42" s="1"/>
  <c r="P283" i="42"/>
  <c r="P254" i="42" s="1"/>
  <c r="P197" i="42"/>
  <c r="P2" i="42" s="1"/>
  <c r="O197" i="42"/>
  <c r="O2" i="42" s="1"/>
  <c r="L197" i="42"/>
  <c r="L2" i="42" s="1"/>
  <c r="K1104" i="42" l="1"/>
  <c r="K1214" i="42" s="1"/>
  <c r="O747" i="42"/>
  <c r="J1104" i="42"/>
  <c r="J1214" i="42" s="1"/>
  <c r="N1104" i="42"/>
  <c r="L1104" i="42"/>
  <c r="L1214" i="42" s="1"/>
  <c r="O1104" i="42"/>
  <c r="O1214" i="42" s="1"/>
  <c r="O1216" i="42" s="1"/>
  <c r="P401" i="42"/>
  <c r="P1104" i="42" s="1"/>
  <c r="P1214" i="42" s="1"/>
  <c r="P1216" i="42" s="1"/>
  <c r="N1214" i="42" l="1"/>
  <c r="N1218" i="42" s="1"/>
  <c r="P1221" i="42"/>
  <c r="P1223" i="42" s="1"/>
  <c r="T1221" i="42"/>
  <c r="T1223" i="42" s="1"/>
  <c r="Q1222" i="42"/>
  <c r="Q1224" i="42" s="1"/>
  <c r="H283" i="42" l="1"/>
  <c r="H254" i="42" s="1"/>
  <c r="H1104" i="42" s="1"/>
  <c r="I917" i="42"/>
  <c r="I874" i="42" s="1"/>
  <c r="I1104" i="42" l="1"/>
  <c r="I1214" i="42" s="1"/>
  <c r="H1214" i="42" l="1"/>
  <c r="N1221" i="42" l="1"/>
  <c r="N1223" i="42" s="1"/>
</calcChain>
</file>

<file path=xl/comments1.xml><?xml version="1.0" encoding="utf-8"?>
<comments xmlns="http://schemas.openxmlformats.org/spreadsheetml/2006/main">
  <authors>
    <author>Mgr. Nina Kuráková</author>
  </authors>
  <commentList>
    <comment ref="O533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36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45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78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96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00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23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726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729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747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869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874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918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922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924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959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982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009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108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118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126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136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146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160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171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181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192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204" authorId="0">
      <text>
        <r>
          <rPr>
            <b/>
            <sz val="9"/>
            <color indexed="81"/>
            <rFont val="Tahoma"/>
            <family val="2"/>
            <charset val="238"/>
          </rPr>
          <t>Mgr. Nina Kuráková: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<sst xmlns="http://schemas.openxmlformats.org/spreadsheetml/2006/main" count="6113" uniqueCount="748">
  <si>
    <t>Druh</t>
  </si>
  <si>
    <t>Funč.kl.</t>
  </si>
  <si>
    <t>Ekon.kl.</t>
  </si>
  <si>
    <t>Zdroj</t>
  </si>
  <si>
    <t>Str.</t>
  </si>
  <si>
    <t>Program</t>
  </si>
  <si>
    <t>Názov</t>
  </si>
  <si>
    <t>Návrh 2020</t>
  </si>
  <si>
    <t>Návrh 2021</t>
  </si>
  <si>
    <t>Návrh 2022</t>
  </si>
  <si>
    <t>Čerpanie</t>
  </si>
  <si>
    <t/>
  </si>
  <si>
    <t>01.1.1</t>
  </si>
  <si>
    <t>611</t>
  </si>
  <si>
    <t>111</t>
  </si>
  <si>
    <t>71</t>
  </si>
  <si>
    <t>Tarifný plat, osobný plat, základný plat, funkčný</t>
  </si>
  <si>
    <t>41</t>
  </si>
  <si>
    <t>01</t>
  </si>
  <si>
    <t>Tarifný plat,osobný plat,zákl.plat,funk.plat...vrá</t>
  </si>
  <si>
    <t>612001</t>
  </si>
  <si>
    <t>Osobný príplatok</t>
  </si>
  <si>
    <t>621</t>
  </si>
  <si>
    <t>Poistné do Všeobecnej zdravotnej poisťovne</t>
  </si>
  <si>
    <t>02</t>
  </si>
  <si>
    <t>VŠzP-poslanci</t>
  </si>
  <si>
    <t>623</t>
  </si>
  <si>
    <t>Poistné do dôvery</t>
  </si>
  <si>
    <t>Poistné do Unionu</t>
  </si>
  <si>
    <t>625001</t>
  </si>
  <si>
    <t>Poistné do Sociálnej poisťovne na nemocenské poist</t>
  </si>
  <si>
    <t>Poistné nemocenské</t>
  </si>
  <si>
    <t>625002</t>
  </si>
  <si>
    <t>Starobné poistenie-Reg.obyv.</t>
  </si>
  <si>
    <t>Poistné do Sociálnej poisťovne na starobné poisten</t>
  </si>
  <si>
    <t>starobné poistenie-poslanci</t>
  </si>
  <si>
    <t>625003</t>
  </si>
  <si>
    <t>Úrazové poistenie-Reg.obyv.</t>
  </si>
  <si>
    <t>Poistné do Sociálnej poisťovne na úrazové poisteni</t>
  </si>
  <si>
    <t>úrazové poistenie-poslanci</t>
  </si>
  <si>
    <t>625004</t>
  </si>
  <si>
    <t>Invalidné poistenie-Reg.obyv.</t>
  </si>
  <si>
    <t>Poistné do Sociálnej poisťovne na invalidné poiste</t>
  </si>
  <si>
    <t>invalidné poistenie-poslanci</t>
  </si>
  <si>
    <t>625005</t>
  </si>
  <si>
    <t>Poistenie v nezam.-Reg.obyv.</t>
  </si>
  <si>
    <t>Poistné do Sociálnej poisťovne na poistenie v neza</t>
  </si>
  <si>
    <t>Na poistenie v nezamestnanosti</t>
  </si>
  <si>
    <t>625007</t>
  </si>
  <si>
    <t>Rezervný fond-Reg.obyv.</t>
  </si>
  <si>
    <t>Poistné do Sociálnej poisťovne do rezervného fondu</t>
  </si>
  <si>
    <t>rezervného fondu solidarity-poslanci</t>
  </si>
  <si>
    <t>627</t>
  </si>
  <si>
    <t>Príspevok do doplnkových dôchodkových poisťovní</t>
  </si>
  <si>
    <t>631001</t>
  </si>
  <si>
    <t>Cestovné náhrady - tuzemské</t>
  </si>
  <si>
    <t>632001</t>
  </si>
  <si>
    <t>Plyn</t>
  </si>
  <si>
    <t>Elektrická energia</t>
  </si>
  <si>
    <t>52</t>
  </si>
  <si>
    <t>Plyn -Krištál</t>
  </si>
  <si>
    <t>El.energia  Krištál</t>
  </si>
  <si>
    <t>60</t>
  </si>
  <si>
    <t>Elektrika- Poliklinika</t>
  </si>
  <si>
    <t>Kúrenie - Poliklinika</t>
  </si>
  <si>
    <t>632002</t>
  </si>
  <si>
    <t>Vodné, stočné</t>
  </si>
  <si>
    <t>Vodné, stočné-Krištal</t>
  </si>
  <si>
    <t>Vodné, stočné - poliklinika</t>
  </si>
  <si>
    <t>632003</t>
  </si>
  <si>
    <t>Poštové služby - REGOB</t>
  </si>
  <si>
    <t>Poštové služby</t>
  </si>
  <si>
    <t>632004</t>
  </si>
  <si>
    <t>Komunikačná infraštruktúra</t>
  </si>
  <si>
    <t>632005</t>
  </si>
  <si>
    <t>Telekomunikačné služby-REGOB</t>
  </si>
  <si>
    <t>Telekomunikačné služby-Msú</t>
  </si>
  <si>
    <t>633001</t>
  </si>
  <si>
    <t>Interiérové vybavenie-REGOB</t>
  </si>
  <si>
    <t>Interiérové vybavenie</t>
  </si>
  <si>
    <t>633002</t>
  </si>
  <si>
    <t>Výpočtová technika</t>
  </si>
  <si>
    <t>633003</t>
  </si>
  <si>
    <t>Telekomunikačná technika</t>
  </si>
  <si>
    <t>633004</t>
  </si>
  <si>
    <t>Prevádzkové stroje, prístroje, zariadenie, technik</t>
  </si>
  <si>
    <t>633005</t>
  </si>
  <si>
    <t>Špeciálne stroje, prístroje, zariadenie, technika</t>
  </si>
  <si>
    <t>633006</t>
  </si>
  <si>
    <t>Všeob.materiál-Obnova evid.pozemkov</t>
  </si>
  <si>
    <t>Kanc.potreby-REGOB</t>
  </si>
  <si>
    <t>Všeobecný materiál - REGOB</t>
  </si>
  <si>
    <t>Všeobecný materiál</t>
  </si>
  <si>
    <t>Čistiace potreby</t>
  </si>
  <si>
    <t>kancel.potreby</t>
  </si>
  <si>
    <t>Všeobecný materiál - krištál</t>
  </si>
  <si>
    <t>Všeobecný materiál - poliklinika</t>
  </si>
  <si>
    <t>62</t>
  </si>
  <si>
    <t>70</t>
  </si>
  <si>
    <t>633007</t>
  </si>
  <si>
    <t>Špeciálny materiál</t>
  </si>
  <si>
    <t>633009</t>
  </si>
  <si>
    <t>Knihy,časopisy,noviny,učebnice,učebné a kompenzačn</t>
  </si>
  <si>
    <t>633010</t>
  </si>
  <si>
    <t>Pracovné odevy, obuv a pracovné pomôcky</t>
  </si>
  <si>
    <t>633013</t>
  </si>
  <si>
    <t>Softvér</t>
  </si>
  <si>
    <t>633016</t>
  </si>
  <si>
    <t>Reprezentačné</t>
  </si>
  <si>
    <t>Reprezentačné -MsR a MsZ</t>
  </si>
  <si>
    <t>635001</t>
  </si>
  <si>
    <t>Rutinná a štandardná údržba interiérového vybaveni</t>
  </si>
  <si>
    <t>635002</t>
  </si>
  <si>
    <t>Údržba výpočtovej techniky</t>
  </si>
  <si>
    <t>635004</t>
  </si>
  <si>
    <t>Rutinná a štandardná údržba prevádzkových strojov,</t>
  </si>
  <si>
    <t>635006</t>
  </si>
  <si>
    <t>Rutinná a štandardná údržba budov, objektov alebo</t>
  </si>
  <si>
    <t>Rutinná a štandardná údržba budov, obj.-krištál</t>
  </si>
  <si>
    <t>635009</t>
  </si>
  <si>
    <t>Softvéru,  update - aktualizácia programov</t>
  </si>
  <si>
    <t>636001</t>
  </si>
  <si>
    <t>Nájomne za pozemok</t>
  </si>
  <si>
    <t>Nájomne za nájom budov, objektov alebo ich častí</t>
  </si>
  <si>
    <t>636002</t>
  </si>
  <si>
    <t>Nájomne za poštový priečinok</t>
  </si>
  <si>
    <t>636006</t>
  </si>
  <si>
    <t>Nájom výpočtovej techniky</t>
  </si>
  <si>
    <t>637001</t>
  </si>
  <si>
    <t>Školenia, kurzy, semináre, porady, konferencie, sy</t>
  </si>
  <si>
    <t>Školenia,kurzy,semináre,porady,konferencie,sympózi</t>
  </si>
  <si>
    <t>637002</t>
  </si>
  <si>
    <t>Kultúra a šport</t>
  </si>
  <si>
    <t>637003</t>
  </si>
  <si>
    <t>Propagácia, reklama a inzercia</t>
  </si>
  <si>
    <t>637004</t>
  </si>
  <si>
    <t>Všeobecné služby</t>
  </si>
  <si>
    <t>637005</t>
  </si>
  <si>
    <t>Špeciálne služby - zdravotná starostlivosť</t>
  </si>
  <si>
    <t>Špeciálne služby - právne poradenstvo</t>
  </si>
  <si>
    <t>Špeciálne služby - ostatné</t>
  </si>
  <si>
    <t>Špeciálne služby - audit</t>
  </si>
  <si>
    <t>637012</t>
  </si>
  <si>
    <t>Požičovné</t>
  </si>
  <si>
    <t>Kolkové známky</t>
  </si>
  <si>
    <t>Poplatky a odvody</t>
  </si>
  <si>
    <t>Poplatky a odvody - SLSP</t>
  </si>
  <si>
    <t>Poplatky a odvody-VÚB</t>
  </si>
  <si>
    <t>Poplatky a odvody--OTP</t>
  </si>
  <si>
    <t>Poplatky a odvody-Decentralizačný účet</t>
  </si>
  <si>
    <t>Poplatky banke-Prima Banka</t>
  </si>
  <si>
    <t>637014</t>
  </si>
  <si>
    <t>Stravovanie</t>
  </si>
  <si>
    <t>637015</t>
  </si>
  <si>
    <t>Poistné</t>
  </si>
  <si>
    <t>637016</t>
  </si>
  <si>
    <t>Prídel do sociálneho fondu</t>
  </si>
  <si>
    <t>637018</t>
  </si>
  <si>
    <t>Vrátenie príjmov z minulých rokov</t>
  </si>
  <si>
    <t>637026</t>
  </si>
  <si>
    <t>Odmeny a príspevky - darcovia krvi</t>
  </si>
  <si>
    <t>Odmeny a príspevky Poslanci</t>
  </si>
  <si>
    <t>637027</t>
  </si>
  <si>
    <t>Odmeny pracovníkov mimopracovného pomeru</t>
  </si>
  <si>
    <t>637031</t>
  </si>
  <si>
    <t>Pokuty a penále</t>
  </si>
  <si>
    <t>637035</t>
  </si>
  <si>
    <t>Dane - zrážková daň</t>
  </si>
  <si>
    <t>Dane - RTVS</t>
  </si>
  <si>
    <t>Vratky za dane</t>
  </si>
  <si>
    <t>Vratky za nájom tržnica</t>
  </si>
  <si>
    <t>Vratky za nájom krištál</t>
  </si>
  <si>
    <t>642006</t>
  </si>
  <si>
    <t>Transfery na členské príspevky</t>
  </si>
  <si>
    <t>642012</t>
  </si>
  <si>
    <t>Transfery na odstupné</t>
  </si>
  <si>
    <t>651002</t>
  </si>
  <si>
    <t>Uroky-uver kúpalisko</t>
  </si>
  <si>
    <t>Úroky ŠFRB nový-Prestavba internátu</t>
  </si>
  <si>
    <t>Úroky ŠFRB stary</t>
  </si>
  <si>
    <t>Úroky - úver na miestne komunikácie</t>
  </si>
  <si>
    <t>01.1.2</t>
  </si>
  <si>
    <t>77</t>
  </si>
  <si>
    <t>Poistné do Dôvera</t>
  </si>
  <si>
    <t>Na nemocenské poistenie</t>
  </si>
  <si>
    <t>Na starobné poistenie</t>
  </si>
  <si>
    <t>Na úrazové poistenie</t>
  </si>
  <si>
    <t>Na invalidné poistenie</t>
  </si>
  <si>
    <t>Na poistenie do rezervného fondu solidarity</t>
  </si>
  <si>
    <t>El.energia</t>
  </si>
  <si>
    <t>Voda</t>
  </si>
  <si>
    <t>Telekomunikačné služby</t>
  </si>
  <si>
    <t>Kancelársky materiál</t>
  </si>
  <si>
    <t>01.3.3</t>
  </si>
  <si>
    <t>27</t>
  </si>
  <si>
    <t>Poistné do ostatných zdravotných poisťovní dôvera</t>
  </si>
  <si>
    <t>Cestovné - regob</t>
  </si>
  <si>
    <t>Energie</t>
  </si>
  <si>
    <t>Energie-plyn</t>
  </si>
  <si>
    <t>Telekomunikačné služby-Matrika</t>
  </si>
  <si>
    <t>Kancelárske potreby</t>
  </si>
  <si>
    <t>Školenie</t>
  </si>
  <si>
    <t>637013</t>
  </si>
  <si>
    <t>Príplatok za ošatenie</t>
  </si>
  <si>
    <t>01.6.0</t>
  </si>
  <si>
    <t>Poistné do Dôvery</t>
  </si>
  <si>
    <t>Poštové služby a telekomunikačné služby</t>
  </si>
  <si>
    <t>634004</t>
  </si>
  <si>
    <t>637037</t>
  </si>
  <si>
    <t>02.2.0</t>
  </si>
  <si>
    <t>81</t>
  </si>
  <si>
    <t>Tarifný plat, osobný plat, základný plat, MOPS</t>
  </si>
  <si>
    <t>Poistné do ostatných zdravotných poisťovní union</t>
  </si>
  <si>
    <t>1AC1</t>
  </si>
  <si>
    <t>Tuzemské</t>
  </si>
  <si>
    <t>04</t>
  </si>
  <si>
    <t>Telekomunikačné služby-MOPS</t>
  </si>
  <si>
    <t>1AC2</t>
  </si>
  <si>
    <t>CO CVICENIE - Všeobecný materiál</t>
  </si>
  <si>
    <t>Špeciálne služby - zdravotne prehliadky</t>
  </si>
  <si>
    <t>06</t>
  </si>
  <si>
    <t>Cestovné - Tuzemské</t>
  </si>
  <si>
    <t>634001</t>
  </si>
  <si>
    <t>Palivo, mazivá, oleje, špeciálne kvapaliny</t>
  </si>
  <si>
    <t>634002</t>
  </si>
  <si>
    <t>Servis, údržba, opravy a výdavky s tým spojené</t>
  </si>
  <si>
    <t>634003</t>
  </si>
  <si>
    <t>Poistenie</t>
  </si>
  <si>
    <t>Špeciálne služby</t>
  </si>
  <si>
    <t>04.1.1</t>
  </si>
  <si>
    <t>26</t>
  </si>
  <si>
    <t>Plyn-fitnes</t>
  </si>
  <si>
    <t>Plyn -Dom služieb</t>
  </si>
  <si>
    <t>El. energia Dom služieb</t>
  </si>
  <si>
    <t>Vodné, stočné-Dom služieb</t>
  </si>
  <si>
    <t>Budov, objektov alebo ich častí</t>
  </si>
  <si>
    <t>04.1.2</t>
  </si>
  <si>
    <t>42,2</t>
  </si>
  <si>
    <t>46</t>
  </si>
  <si>
    <t>42</t>
  </si>
  <si>
    <t>Poistné do VZP</t>
  </si>
  <si>
    <t>Poistné do dvzp</t>
  </si>
  <si>
    <t>Skládkari - VZP</t>
  </si>
  <si>
    <t>Poistné do sociálnej poisťovne na nemocenské</t>
  </si>
  <si>
    <t>El. energia</t>
  </si>
  <si>
    <t>Telekomunikačné služby-Koordinátor</t>
  </si>
  <si>
    <t>Školenia, kurzy, semináre, porady, konferencie,</t>
  </si>
  <si>
    <t>EU-stravovanie-terenni</t>
  </si>
  <si>
    <t>Stravovanie-strážnici TKO</t>
  </si>
  <si>
    <t>04.4.3</t>
  </si>
  <si>
    <t>32</t>
  </si>
  <si>
    <t>Telekomunikačné služby-SOÚ</t>
  </si>
  <si>
    <t>kancelársky materiál</t>
  </si>
  <si>
    <t>Pracovné odevy, obuv</t>
  </si>
  <si>
    <t>Prepravné a nájom dopravných prostriedkov</t>
  </si>
  <si>
    <t>04.5.1</t>
  </si>
  <si>
    <t>20</t>
  </si>
  <si>
    <t>05.1.0</t>
  </si>
  <si>
    <t>07</t>
  </si>
  <si>
    <t>Všeobecné služby - vývoz</t>
  </si>
  <si>
    <t>Všeobecné služby - uloženie</t>
  </si>
  <si>
    <t>06.1.0</t>
  </si>
  <si>
    <t>31</t>
  </si>
  <si>
    <t>45</t>
  </si>
  <si>
    <t>Telekomunikačné služby-Bytová politika</t>
  </si>
  <si>
    <t>06.2.0</t>
  </si>
  <si>
    <t>84</t>
  </si>
  <si>
    <t>641001</t>
  </si>
  <si>
    <t>03</t>
  </si>
  <si>
    <t>Dotácia MPS</t>
  </si>
  <si>
    <t>06.4.0</t>
  </si>
  <si>
    <t>08</t>
  </si>
  <si>
    <t>El.energia-VO</t>
  </si>
  <si>
    <t>83</t>
  </si>
  <si>
    <t>Tarifný plat, osobný plat, základný plat</t>
  </si>
  <si>
    <t>13</t>
  </si>
  <si>
    <t>El.energia-TJ Sklotatran telocvična</t>
  </si>
  <si>
    <t>El.energia TJ klubovňa</t>
  </si>
  <si>
    <t>Plyn - klubovňa</t>
  </si>
  <si>
    <t>Plyn - TJ Sklotatran telocvičňa</t>
  </si>
  <si>
    <t>Vodné, stočné-klubovna TJ</t>
  </si>
  <si>
    <t>82</t>
  </si>
  <si>
    <t>Vratky - najomné mesto</t>
  </si>
  <si>
    <t>642002</t>
  </si>
  <si>
    <t>11</t>
  </si>
  <si>
    <t>Športová komisia</t>
  </si>
  <si>
    <t>Dotácia TJ Sklotatran</t>
  </si>
  <si>
    <t>14</t>
  </si>
  <si>
    <t>Volejbalový oddiel - kúrenie</t>
  </si>
  <si>
    <t>Volejbalový oddiel - energie</t>
  </si>
  <si>
    <t>Volejbalový oddiel - dotácia</t>
  </si>
  <si>
    <t>66</t>
  </si>
  <si>
    <t>Dotácia Carnage Club</t>
  </si>
  <si>
    <t>72</t>
  </si>
  <si>
    <t>08.2.0</t>
  </si>
  <si>
    <t>21</t>
  </si>
  <si>
    <t>Tarifný plat,osobný plat,zákl.plat,</t>
  </si>
  <si>
    <t>23</t>
  </si>
  <si>
    <t>05</t>
  </si>
  <si>
    <t>Poistné starobné</t>
  </si>
  <si>
    <t>24</t>
  </si>
  <si>
    <t>Plyn Poltár</t>
  </si>
  <si>
    <t>El.energia - Poltár</t>
  </si>
  <si>
    <t>El.energia - Slaná Lehota</t>
  </si>
  <si>
    <t>El.energia Zelené</t>
  </si>
  <si>
    <t>Plyn-Slaná Lehota</t>
  </si>
  <si>
    <t>25</t>
  </si>
  <si>
    <t>Vodné, stočné-Poltár</t>
  </si>
  <si>
    <t>Vodné, stočné- Sl.Lehota</t>
  </si>
  <si>
    <t>Vodné, stočné- Muzeum</t>
  </si>
  <si>
    <t>Telekomunikačné služby-telefón Kult.dom</t>
  </si>
  <si>
    <t>Telekomunikačné služby-telefón Knižnica Poltár</t>
  </si>
  <si>
    <t>Telekomunikačné služby-telefón Kniž.Sl.Lehota+Zele</t>
  </si>
  <si>
    <t>Čistiace a kancelárske potreby</t>
  </si>
  <si>
    <t>Knihy, časopisy, noviny , učebnice, učebné pomôcky</t>
  </si>
  <si>
    <t>Knihy,časopisy,noviny-Poltár</t>
  </si>
  <si>
    <t>Kultúrne podujatia</t>
  </si>
  <si>
    <t>DFS Kukučky</t>
  </si>
  <si>
    <t>Letokruhy - spevokol</t>
  </si>
  <si>
    <t>Všeobecné služby-Poltár</t>
  </si>
  <si>
    <t>Všeobecné služby-Slaná Lehota</t>
  </si>
  <si>
    <t>Všeobecné služby-Zelené</t>
  </si>
  <si>
    <t>Zdravotná služba</t>
  </si>
  <si>
    <t>Poplatky a odvody - SOZA</t>
  </si>
  <si>
    <t>Sociálny fond</t>
  </si>
  <si>
    <t>Odmeny a príspevky ZPOZ</t>
  </si>
  <si>
    <t>10</t>
  </si>
  <si>
    <t>Školská komisia</t>
  </si>
  <si>
    <t>12</t>
  </si>
  <si>
    <t>Kultúrna komisia</t>
  </si>
  <si>
    <t>08.3.0</t>
  </si>
  <si>
    <t>22</t>
  </si>
  <si>
    <t>72c</t>
  </si>
  <si>
    <t>15</t>
  </si>
  <si>
    <t>Energie-jednota dôchodcov</t>
  </si>
  <si>
    <t>Rutinná a št.údržbaBudov, objektov alebo ich častí</t>
  </si>
  <si>
    <t>19</t>
  </si>
  <si>
    <t>16</t>
  </si>
  <si>
    <t>17</t>
  </si>
  <si>
    <t>18</t>
  </si>
  <si>
    <t>40</t>
  </si>
  <si>
    <t>69</t>
  </si>
  <si>
    <t>38</t>
  </si>
  <si>
    <t>09.1.1.1</t>
  </si>
  <si>
    <t>28</t>
  </si>
  <si>
    <t>29</t>
  </si>
  <si>
    <t>VšZP</t>
  </si>
  <si>
    <t>Cestovné náhrady MŠ kanadská</t>
  </si>
  <si>
    <t>Cestovné náhrady MŠ sklárska</t>
  </si>
  <si>
    <t>Plyn-MŠ sklárska</t>
  </si>
  <si>
    <t>El.energia MŠ sklárska</t>
  </si>
  <si>
    <t>El.energia MŠ kanadská</t>
  </si>
  <si>
    <t>Plyn-MS Kanadska</t>
  </si>
  <si>
    <t>Poštové služby - televízia rozhlas</t>
  </si>
  <si>
    <t>Telekomunikačné služby-telefón MŠ Sklárska</t>
  </si>
  <si>
    <t>Telekomunikačné služby-telefón MŠ Kanadská</t>
  </si>
  <si>
    <t>Interiérové vybavenie MŠ kanadská</t>
  </si>
  <si>
    <t>Výpočtová technika- MS Sklárska</t>
  </si>
  <si>
    <t>Výpočtová technika- MS Kanadská</t>
  </si>
  <si>
    <t>Prevádzkové stroje MŠ sklárska</t>
  </si>
  <si>
    <t>Všeobecný materiál-MŠ sklárska</t>
  </si>
  <si>
    <t>Kancelársky materiál-MŠ sklárska</t>
  </si>
  <si>
    <t>Kancelársky materiál-MŠ kanadská</t>
  </si>
  <si>
    <t>Čistiace potreby-MŠ sklárska</t>
  </si>
  <si>
    <t>Kancelársky materiál MŠ sklárska</t>
  </si>
  <si>
    <t>Všeobecný materiál-MŠ kanadská</t>
  </si>
  <si>
    <t>Čistiace potreby MŠ kanadská</t>
  </si>
  <si>
    <t>Školské potreby v HN MŠ sklárska</t>
  </si>
  <si>
    <t>Knihy,časopisy MŠ sklárska</t>
  </si>
  <si>
    <t>Knihy,časopisy MŠ kanadská</t>
  </si>
  <si>
    <t>Pracovné odevy, obuv MŠ kanadská</t>
  </si>
  <si>
    <t>Pracovné odevy, obuv  MŠ sklárska</t>
  </si>
  <si>
    <t>633015</t>
  </si>
  <si>
    <t>Palivá ako zdroj energie</t>
  </si>
  <si>
    <t>Prepravné MŠ Sklárska</t>
  </si>
  <si>
    <t>Interiérového vybavenia</t>
  </si>
  <si>
    <t>Rutinná  údržba PC-MŠ skl.</t>
  </si>
  <si>
    <t>Rutinná  údržba PC-MŠ kanadská</t>
  </si>
  <si>
    <t>Rutinná a štand.údržba strojov,prístrojov a zariad</t>
  </si>
  <si>
    <t>Údržba budov, objektov MŠ sklárska</t>
  </si>
  <si>
    <t>Rutinná a štandardná údržba budov MŠ kanadská</t>
  </si>
  <si>
    <t>Školenia MŠ sklárska</t>
  </si>
  <si>
    <t>Školenia MŠ kanadská</t>
  </si>
  <si>
    <t>Všeob.služby MŠ sklárska</t>
  </si>
  <si>
    <t>Všeob.služby MŠ kanadská</t>
  </si>
  <si>
    <t>Zdrav.starostlivosť-MŠ sklárska</t>
  </si>
  <si>
    <t>Stravovanie-MŠ sklárska</t>
  </si>
  <si>
    <t>Stravovanie-MŠ kanadská</t>
  </si>
  <si>
    <t>Poistenie úrazové - dobrovoľnícka činnosť MŠ Kanad</t>
  </si>
  <si>
    <t>Poistné-deti-MŠ sklárska</t>
  </si>
  <si>
    <t>Poistenie majetku</t>
  </si>
  <si>
    <t>Poistné-deti-MŠ kanadská</t>
  </si>
  <si>
    <t>Prídel do SF-MŠ sklárska</t>
  </si>
  <si>
    <t>Prídel do SF-MŠ kanadská</t>
  </si>
  <si>
    <t>09.1.2.1</t>
  </si>
  <si>
    <t>09.5.0</t>
  </si>
  <si>
    <t>61</t>
  </si>
  <si>
    <t>Záujmové vzdelávanie</t>
  </si>
  <si>
    <t>09.6.0.1</t>
  </si>
  <si>
    <t>30</t>
  </si>
  <si>
    <t>Telekomunikačné služby-telefón ŠJ</t>
  </si>
  <si>
    <t>Výpočtová technika- Školská jedáleň pri MŠ sklársk</t>
  </si>
  <si>
    <t>kancelárske potreby</t>
  </si>
  <si>
    <t>633011</t>
  </si>
  <si>
    <t>Potraviny</t>
  </si>
  <si>
    <t>72f</t>
  </si>
  <si>
    <t>Vratenie nevyč.fin.prostriedkov Lyž.výcvik ZŠ Slob</t>
  </si>
  <si>
    <t>Vratenie nevyč.fin.prostriedkov Škola v pr ZŠ Slob</t>
  </si>
  <si>
    <t>Vratenie nevyč.fin.prostriedkov Lyž.výcvik ZŠ Škol</t>
  </si>
  <si>
    <t>09.6.0.8</t>
  </si>
  <si>
    <t>09.8.0</t>
  </si>
  <si>
    <t>33</t>
  </si>
  <si>
    <t>Poistné v dôvere</t>
  </si>
  <si>
    <t>Telekomunikačné služby-SŠÚ</t>
  </si>
  <si>
    <t>35</t>
  </si>
  <si>
    <t>10.5.0</t>
  </si>
  <si>
    <t>42,1</t>
  </si>
  <si>
    <t>projekt šanca pre mladých</t>
  </si>
  <si>
    <t>na nemoc.pois. - projekt šanca pre mladých</t>
  </si>
  <si>
    <t>na nemoc. pois. projekt šanca pre mladých</t>
  </si>
  <si>
    <t>na starobné - projekt šanca pe mladých</t>
  </si>
  <si>
    <t>na starobné pois. projekt šanca pre mladých</t>
  </si>
  <si>
    <t>na úrazové pois. šanca pre mladých</t>
  </si>
  <si>
    <t>na úrazové šanca pre mladých</t>
  </si>
  <si>
    <t>na invalidné pois. šanca pre mladých</t>
  </si>
  <si>
    <t>v nezamest. šanca pre mladých</t>
  </si>
  <si>
    <t>na rezervný fond šanca pre mladých</t>
  </si>
  <si>
    <t>na rf šanca pre mladých</t>
  </si>
  <si>
    <t>68</t>
  </si>
  <si>
    <t>39</t>
  </si>
  <si>
    <t>Cestovné</t>
  </si>
  <si>
    <t>Plyn - Ter.prac.</t>
  </si>
  <si>
    <t>elek en. - Ter.prac.</t>
  </si>
  <si>
    <t>El. energia KC</t>
  </si>
  <si>
    <t>Plyn KC</t>
  </si>
  <si>
    <t>Vodné, stočné terenni</t>
  </si>
  <si>
    <t>Telekomunikačné služby-TSP</t>
  </si>
  <si>
    <t>Telekomunikačné služby-KC</t>
  </si>
  <si>
    <t>Telekomunikačné služby-telefón</t>
  </si>
  <si>
    <t>Hmot.núdza ZS Slobody</t>
  </si>
  <si>
    <t>Hmot.nudza ZS Skolská</t>
  </si>
  <si>
    <t>Vratenie nevyč.fin.prostriedkov ZSS</t>
  </si>
  <si>
    <t>09</t>
  </si>
  <si>
    <t>Sociálna komisia</t>
  </si>
  <si>
    <t>642026</t>
  </si>
  <si>
    <t>Na dávku v hmotnej núdzi a príspevky k dávke</t>
  </si>
  <si>
    <t>713004</t>
  </si>
  <si>
    <t>Prevádzkových strojov, prístrojov, zariadení, tech</t>
  </si>
  <si>
    <t>717002</t>
  </si>
  <si>
    <t>Rekonštrukcia a modernizácia</t>
  </si>
  <si>
    <t>Rekonštrukcia elektr.rozvodov ZŠ Slobody</t>
  </si>
  <si>
    <t>Basketbalové koše  ZŠ Školská</t>
  </si>
  <si>
    <t>08.6.0</t>
  </si>
  <si>
    <t>713001</t>
  </si>
  <si>
    <t>Nákup interiérového vybavenia</t>
  </si>
  <si>
    <t>73</t>
  </si>
  <si>
    <t>Technológia pre sociálny podnik</t>
  </si>
  <si>
    <t>01.7.0</t>
  </si>
  <si>
    <t>821005</t>
  </si>
  <si>
    <t>Úver na kupalisko</t>
  </si>
  <si>
    <t>Splácanie istiny-32 b.j.</t>
  </si>
  <si>
    <t>Splácanie istiny prestavba internátu</t>
  </si>
  <si>
    <t>Úver na miestne komunikácie</t>
  </si>
  <si>
    <t>Skutočnosť 2017</t>
  </si>
  <si>
    <t>Skutočnosť 2018</t>
  </si>
  <si>
    <t>Schválený 2019</t>
  </si>
  <si>
    <t>Upravený 2019</t>
  </si>
  <si>
    <t>Očak. Skut. 2019</t>
  </si>
  <si>
    <t>610</t>
  </si>
  <si>
    <t>620</t>
  </si>
  <si>
    <t>633</t>
  </si>
  <si>
    <t>Materiál</t>
  </si>
  <si>
    <t>Poistné a príspevok do poisťovní</t>
  </si>
  <si>
    <t>635</t>
  </si>
  <si>
    <t>640</t>
  </si>
  <si>
    <t>Transfery</t>
  </si>
  <si>
    <t>636</t>
  </si>
  <si>
    <t>Nájomné</t>
  </si>
  <si>
    <t>637</t>
  </si>
  <si>
    <t>Služby</t>
  </si>
  <si>
    <t>631</t>
  </si>
  <si>
    <t>632</t>
  </si>
  <si>
    <t>642</t>
  </si>
  <si>
    <t>1.1.</t>
  </si>
  <si>
    <t>10.7.0.</t>
  </si>
  <si>
    <t>Dotácia SCŠPP</t>
  </si>
  <si>
    <t>1.2.</t>
  </si>
  <si>
    <t>1.3.1.</t>
  </si>
  <si>
    <t>1.3.2.</t>
  </si>
  <si>
    <t>1.3.3.</t>
  </si>
  <si>
    <t>1.4.</t>
  </si>
  <si>
    <t>1.5.</t>
  </si>
  <si>
    <t>2.1.</t>
  </si>
  <si>
    <t>2.3.2.</t>
  </si>
  <si>
    <t>3.1.</t>
  </si>
  <si>
    <t>3.2.1.</t>
  </si>
  <si>
    <t>3.2.2.</t>
  </si>
  <si>
    <t>3.2.3.</t>
  </si>
  <si>
    <t>3.3.1.</t>
  </si>
  <si>
    <t>3.3.2.</t>
  </si>
  <si>
    <t>3.4.</t>
  </si>
  <si>
    <t>4.1.</t>
  </si>
  <si>
    <t>4.2.1.</t>
  </si>
  <si>
    <t>4.2.2.</t>
  </si>
  <si>
    <t>4.2.3.</t>
  </si>
  <si>
    <t>4.3.1.</t>
  </si>
  <si>
    <t>4.4.</t>
  </si>
  <si>
    <t>4.5.</t>
  </si>
  <si>
    <t>5.1.</t>
  </si>
  <si>
    <t>5.2.</t>
  </si>
  <si>
    <t>6.1.1.</t>
  </si>
  <si>
    <t>6.1.2.</t>
  </si>
  <si>
    <t>7.1.1.</t>
  </si>
  <si>
    <t>7.2.2.</t>
  </si>
  <si>
    <t>7.3.2.</t>
  </si>
  <si>
    <t>8.1.1.</t>
  </si>
  <si>
    <t>8.1.2.</t>
  </si>
  <si>
    <t>8.2.1.</t>
  </si>
  <si>
    <t>8.2.2.</t>
  </si>
  <si>
    <t>8.3.2.</t>
  </si>
  <si>
    <t>8.4.3.</t>
  </si>
  <si>
    <t>8.5.</t>
  </si>
  <si>
    <t>8.6.</t>
  </si>
  <si>
    <t>9.1.1.</t>
  </si>
  <si>
    <t>9.1.2.</t>
  </si>
  <si>
    <t>9.1.4.</t>
  </si>
  <si>
    <t>9.1.5.</t>
  </si>
  <si>
    <t>9.3.</t>
  </si>
  <si>
    <t>10.1.1.</t>
  </si>
  <si>
    <t>10.1.2.</t>
  </si>
  <si>
    <t>10.1.3.</t>
  </si>
  <si>
    <t>10.2.</t>
  </si>
  <si>
    <t>11.1.1.</t>
  </si>
  <si>
    <t>11.1.2.</t>
  </si>
  <si>
    <t>11.2.</t>
  </si>
  <si>
    <t>11.3.</t>
  </si>
  <si>
    <t>11.4.</t>
  </si>
  <si>
    <t>12.1.</t>
  </si>
  <si>
    <t>12.2.</t>
  </si>
  <si>
    <t>13.1.1.</t>
  </si>
  <si>
    <t>13.1.4.</t>
  </si>
  <si>
    <t>13.2.</t>
  </si>
  <si>
    <t>13.3.1.</t>
  </si>
  <si>
    <t>13.3.2.</t>
  </si>
  <si>
    <t>13.3.3.</t>
  </si>
  <si>
    <t>13.4.</t>
  </si>
  <si>
    <t>13.5.</t>
  </si>
  <si>
    <t>13.6.</t>
  </si>
  <si>
    <t>14.3.</t>
  </si>
  <si>
    <t>612002</t>
  </si>
  <si>
    <t>Rekreačný príspevok</t>
  </si>
  <si>
    <t>13.1.3.</t>
  </si>
  <si>
    <t>Všeobecné služby- Občasník</t>
  </si>
  <si>
    <t>Rutinná a štandardná údržba budov, objektov KC</t>
  </si>
  <si>
    <t>SPOLU</t>
  </si>
  <si>
    <t>MATRIKA</t>
  </si>
  <si>
    <t>MOPS</t>
  </si>
  <si>
    <t>DOM SLUŽIEB</t>
  </si>
  <si>
    <t>SPOLU - dom služieb</t>
  </si>
  <si>
    <t>AKTIVAČNÁ ČINNOSŤ</t>
  </si>
  <si>
    <t>SPOLOČNÝ OBECNÝ ÚRAD</t>
  </si>
  <si>
    <t>09.1.1.1.</t>
  </si>
  <si>
    <t>Hmotná núdza</t>
  </si>
  <si>
    <t>81.2.</t>
  </si>
  <si>
    <t>Hmotná núdza - ms kanadská</t>
  </si>
  <si>
    <t>09.5.0.</t>
  </si>
  <si>
    <t>ZÁKLADNÁ UMELECKÁ ŠKOLA</t>
  </si>
  <si>
    <t>Energie, voda a komunikácie</t>
  </si>
  <si>
    <t>Rutinná a štandardná údržba</t>
  </si>
  <si>
    <t>VÝDAVKY ZUŠ</t>
  </si>
  <si>
    <t>10.2.0.</t>
  </si>
  <si>
    <t>ZARIADENIE SOCIÁLNYCH SLUŽIEB</t>
  </si>
  <si>
    <t>VÝDAVKY ZSS</t>
  </si>
  <si>
    <t>ZÁKLADNÁ ŠKOLA ŠKOLSKÁ</t>
  </si>
  <si>
    <t>09.2.1.1.</t>
  </si>
  <si>
    <t>VÝDAVKY ZŠ ŠKOLSKÁ</t>
  </si>
  <si>
    <t>ŠKOLSKÝ KLUB DETÍ ŠKOLSKÁ</t>
  </si>
  <si>
    <t>VÝDAVKY ŠKD</t>
  </si>
  <si>
    <t>Školské potreby</t>
  </si>
  <si>
    <t>Odchodné</t>
  </si>
  <si>
    <t>4.2.3</t>
  </si>
  <si>
    <t>610,620</t>
  </si>
  <si>
    <t>630</t>
  </si>
  <si>
    <t xml:space="preserve">Mzdy a odvody - odstupné </t>
  </si>
  <si>
    <t>náklady na faktúry</t>
  </si>
  <si>
    <t>09.1.2.1.</t>
  </si>
  <si>
    <t>ŠKOLSKÝ KLUB DETÍ SLOBODY</t>
  </si>
  <si>
    <t>CENTRUM VOĽNÉHO ČASU</t>
  </si>
  <si>
    <t>VÝDAVKY CVČ</t>
  </si>
  <si>
    <t>Asistenti učiteľa - projekt</t>
  </si>
  <si>
    <t>634</t>
  </si>
  <si>
    <t>Verejné osvetlenie</t>
  </si>
  <si>
    <t>651</t>
  </si>
  <si>
    <t>600</t>
  </si>
  <si>
    <t>Energia, voda, komunikácie</t>
  </si>
  <si>
    <t>Transfery jednotlivcom a NO</t>
  </si>
  <si>
    <t>Splácanie úrokov v tuzemsku</t>
  </si>
  <si>
    <t>Výkonné a zákonodarné orgány</t>
  </si>
  <si>
    <t>Školská jedáleň pri MŠ</t>
  </si>
  <si>
    <t xml:space="preserve">Materiál </t>
  </si>
  <si>
    <t>Odstránenie čiernych skládok</t>
  </si>
  <si>
    <t>telocvična spolufinancovanie</t>
  </si>
  <si>
    <t>Dotácia primátorky</t>
  </si>
  <si>
    <t>SCŠPP</t>
  </si>
  <si>
    <t>Splácanie úverov</t>
  </si>
  <si>
    <t>VÝDAVKY SAMOSPRÁVY</t>
  </si>
  <si>
    <t>VÝDAVKY KRIŠTÁĽ</t>
  </si>
  <si>
    <t>VÝDAVKY POLIKLINIKA</t>
  </si>
  <si>
    <t>VÝDAVKY správa školských objektov</t>
  </si>
  <si>
    <t>VÝDAVKY REGISTER OBYVATEĽSTVA</t>
  </si>
  <si>
    <t>Mzdové náklady</t>
  </si>
  <si>
    <t>01.1.1.</t>
  </si>
  <si>
    <t>01.1.2.</t>
  </si>
  <si>
    <t xml:space="preserve">Finančné a rozpočtové záležitosti </t>
  </si>
  <si>
    <t>01.3.3.</t>
  </si>
  <si>
    <t xml:space="preserve">Iné všeobecné služby </t>
  </si>
  <si>
    <t>VÝDAVKY MATRIKA</t>
  </si>
  <si>
    <t>TRANSAKCIE VEREJNÉHO DLHU - splácanie úverov</t>
  </si>
  <si>
    <t>Všeobecné verejné služby - voľby</t>
  </si>
  <si>
    <t>VÝDAVKY - civilná ochrana</t>
  </si>
  <si>
    <t>02.2.0.</t>
  </si>
  <si>
    <t>VÝDAVKY MOPS</t>
  </si>
  <si>
    <t>03.2.0.</t>
  </si>
  <si>
    <t>Ochrana pred požiarmi</t>
  </si>
  <si>
    <t>04.1.1.</t>
  </si>
  <si>
    <t>04.1.2.</t>
  </si>
  <si>
    <t xml:space="preserve">Všeobecná pracovná činnosť </t>
  </si>
  <si>
    <t>VÝDAVKY - skládka TKO Slaná Lehota</t>
  </si>
  <si>
    <t>VÝDAVKY -  Aktivačná činnosť</t>
  </si>
  <si>
    <t>04.4.3.</t>
  </si>
  <si>
    <t>Cestná doprava</t>
  </si>
  <si>
    <t>04.5.1.</t>
  </si>
  <si>
    <t>BEŽNÉ VÝDAVKY Participatívny rozpočet</t>
  </si>
  <si>
    <t>BEŽNÉ VÝDAVKY - požiarna ochrana</t>
  </si>
  <si>
    <t>05.1.0.</t>
  </si>
  <si>
    <t>Nakladanie s odpadmi</t>
  </si>
  <si>
    <t>06.1.0.</t>
  </si>
  <si>
    <t>Rozvoj bývania</t>
  </si>
  <si>
    <t>VÝDAVKY - bytová politika</t>
  </si>
  <si>
    <t>06.2.0.</t>
  </si>
  <si>
    <t>Rozvoj obcí</t>
  </si>
  <si>
    <t>BEŽNÉ VÝDAVKY - MESTSKÝ PODNIK SLUŽIEB</t>
  </si>
  <si>
    <t>06.4.0.</t>
  </si>
  <si>
    <t>08.1.0.</t>
  </si>
  <si>
    <t>Rekreačné a športové služby</t>
  </si>
  <si>
    <t>VÝDAVKY TJ SKLOTATRAN - energie</t>
  </si>
  <si>
    <t xml:space="preserve">VÝDAVKY DOTÁCIA TJ SKLOTATRAN </t>
  </si>
  <si>
    <t>VÝDAVKY DOTÁCIA VOLEJBAL</t>
  </si>
  <si>
    <t>Telocvičňa - spolufinancovanie</t>
  </si>
  <si>
    <t>08.2.0.</t>
  </si>
  <si>
    <t>Kultúrne služby</t>
  </si>
  <si>
    <t>VÝDAVKY - ZPOZ</t>
  </si>
  <si>
    <t>Poistné a príspevky do poisťovní</t>
  </si>
  <si>
    <t>VÝDAVKY - kultúrny dom</t>
  </si>
  <si>
    <t>VÝDAVKY - Mestská ľudová knižnica</t>
  </si>
  <si>
    <t>VÝDAVKY - knižnica Zelené a Slaná Lehota</t>
  </si>
  <si>
    <t>VÝDAVKY - múzeum</t>
  </si>
  <si>
    <t>08.3.0.</t>
  </si>
  <si>
    <t xml:space="preserve">Vysielacie a vydavateľské služby </t>
  </si>
  <si>
    <t>08.4.0.</t>
  </si>
  <si>
    <t>Náboženské a iné spoločenské služby</t>
  </si>
  <si>
    <t>Predprimárne vzdelávanie s bežnou starostlivosťou</t>
  </si>
  <si>
    <t>SPOLU výdavky MŠ Sklárská</t>
  </si>
  <si>
    <t>SPOLU výdavky MŠ Kanadská</t>
  </si>
  <si>
    <t>Vzdelávanie nedefinované podľa úrovne - záujmové vzdelávanie škôl</t>
  </si>
  <si>
    <t>09.6.0.1.</t>
  </si>
  <si>
    <t>Vedľajšie služby poskytované v rámci predprimárneho vzdelávania</t>
  </si>
  <si>
    <t>Cestovné náhrady MŠ Sklárska</t>
  </si>
  <si>
    <t>VÝDAVKY ŠKOLSKÁ JEDÁLEŇ PRI MŠ SKL.</t>
  </si>
  <si>
    <t>09.6.0.3.</t>
  </si>
  <si>
    <t>Vedľajšie služby poskytované v rámci nižšieho sekundárneho vzdelávania</t>
  </si>
  <si>
    <t>09.6.0.8.</t>
  </si>
  <si>
    <t>Vzdelávania nedefin. Podľa úrovne - SCŠPP</t>
  </si>
  <si>
    <t>09.8.0.</t>
  </si>
  <si>
    <t>Vzdelávanie inde neklasifikované</t>
  </si>
  <si>
    <t xml:space="preserve">Cestovné náhrady </t>
  </si>
  <si>
    <t>Cestovné náhrady</t>
  </si>
  <si>
    <t>VÝDAVKY SPOLOČNÝ ŠKOLSKÝ ÚRAD</t>
  </si>
  <si>
    <t>Cestovné náhrady MŠ Kanadská</t>
  </si>
  <si>
    <t>10.5.0.</t>
  </si>
  <si>
    <t>Nezamestnanosť - projekty Úrad práce, sociálnych vecí a rodiny</t>
  </si>
  <si>
    <t>Staroba - opatrovateľky</t>
  </si>
  <si>
    <t>SPOLU výdavky opatrovateľky</t>
  </si>
  <si>
    <t>Sociálna pomoc občanom v hmotnej a sociálnej núdzi</t>
  </si>
  <si>
    <t>VÝDAVKY - TERÉNNA SOCIÁLNA PRÁCA</t>
  </si>
  <si>
    <t>VÝDAVKY - OSOBITNÝ PRÍJEMCA</t>
  </si>
  <si>
    <t>VÝDAVKY - KOMUNITNÉ CENTRUM</t>
  </si>
  <si>
    <t xml:space="preserve">ZÁKLADNÁ ŠKOLA SLOBODY </t>
  </si>
  <si>
    <t xml:space="preserve">VÝDAVKY ZŠ SLOBODY </t>
  </si>
  <si>
    <t>Poistné a odvody do poisťovní</t>
  </si>
  <si>
    <t>Transfery jednotlivcom</t>
  </si>
  <si>
    <t>09.6.0.2.</t>
  </si>
  <si>
    <t xml:space="preserve">ŠKOLSKÁ JEDÁLEŇ SLOBODY </t>
  </si>
  <si>
    <t xml:space="preserve">VÝDAVKY ŠJ SLOBODY </t>
  </si>
  <si>
    <t>09.8.0.2.</t>
  </si>
  <si>
    <t>POSKYTNUTÉ TRANSFÉRY pre ZŠ SLOBODY</t>
  </si>
  <si>
    <t xml:space="preserve">Dopravné </t>
  </si>
  <si>
    <t>Asistenti učiteľa</t>
  </si>
  <si>
    <t>Učebnice</t>
  </si>
  <si>
    <t>Vzdelávacie poukazy</t>
  </si>
  <si>
    <t>Vých. a vzd. Žiakov zo soc. znevýhod. prostredia</t>
  </si>
  <si>
    <t>Lyžiarsky výcvik</t>
  </si>
  <si>
    <t>Škola v prírode</t>
  </si>
  <si>
    <t>Havarijná situácia</t>
  </si>
  <si>
    <t xml:space="preserve">Nájomné </t>
  </si>
  <si>
    <t>Transféry jednotlivcom</t>
  </si>
  <si>
    <t>POSKYTNUTÉ TRANSFÉRY pre ZŠ ŠKOLSKÁ</t>
  </si>
  <si>
    <t>príjmy</t>
  </si>
  <si>
    <t>výdavky</t>
  </si>
  <si>
    <t>Ochrana CO + MOPS</t>
  </si>
  <si>
    <t>Rybársky zväz z predaných lístkov</t>
  </si>
  <si>
    <t>Prepravné</t>
  </si>
  <si>
    <t>KV</t>
  </si>
  <si>
    <t>VÝDAVKY MESTSKÉ ZASTUPITEĽSTVO + KOMISIE</t>
  </si>
  <si>
    <t>Civilná ochrana a MOPS</t>
  </si>
  <si>
    <t>VÝSTAVBA</t>
  </si>
  <si>
    <t>Zber a vývoz odpadu</t>
  </si>
  <si>
    <t>Uloženie odpadu</t>
  </si>
  <si>
    <t>641</t>
  </si>
  <si>
    <t>Technické služby mesta Poltár s.r.o.</t>
  </si>
  <si>
    <t xml:space="preserve">600 </t>
  </si>
  <si>
    <t xml:space="preserve">Dotácia Stolný tenis </t>
  </si>
  <si>
    <t xml:space="preserve">Dotácia Tenisový klub ESO </t>
  </si>
  <si>
    <t>Wellnes spolufinancovanie</t>
  </si>
  <si>
    <t>Dotácia jednota dôchodcov</t>
  </si>
  <si>
    <t>Služby klub dôchodcov</t>
  </si>
  <si>
    <t>Dotácia ZŤP</t>
  </si>
  <si>
    <t>Dotácia Slov.červený kríž</t>
  </si>
  <si>
    <t>Dotácia SZPB</t>
  </si>
  <si>
    <t>Dotácia Kynologicky klub</t>
  </si>
  <si>
    <t>Dotácia cirkvi - katolícka</t>
  </si>
  <si>
    <t>Dotácia cirkvi - evanjelická</t>
  </si>
  <si>
    <t>Dotácia Únia rómskych mater.centier</t>
  </si>
  <si>
    <t>Dotácia DHZ</t>
  </si>
  <si>
    <t xml:space="preserve">Dotácia OZ OPONA </t>
  </si>
  <si>
    <t xml:space="preserve">Dotácia TILIA NO </t>
  </si>
  <si>
    <t xml:space="preserve">Dotácia Ranč MEGI, OZ Poltár </t>
  </si>
  <si>
    <t>BV</t>
  </si>
  <si>
    <t>FO</t>
  </si>
  <si>
    <t>BEŽNÉ VÝDAVKY SPOLU</t>
  </si>
  <si>
    <t>BEŽNÉ VÝDAVKY MsÚ SPOLU</t>
  </si>
  <si>
    <t>KONTROLNÁ ČINNOSŤ</t>
  </si>
  <si>
    <t>Primárne vzdelávanie s bežnou star. - vratky</t>
  </si>
  <si>
    <t>VÝDAVKY - kúrenie a energie mestská hala</t>
  </si>
  <si>
    <t>VÝDAVKY PROJEKT ÚP Šanca pre mladých</t>
  </si>
  <si>
    <t>Všeob. ekonom. a obchodná oblasť - Dom služieb</t>
  </si>
  <si>
    <t>Výdavkové finančné operácie</t>
  </si>
  <si>
    <t>Splácanie úveru na budovu bývalej 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</si>
</sst>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53">
    <xf numFmtId="0" fontId="0" fillId="0" borderId="0" xfId="0"/>
    <xf numFmtId="49" fontId="0" fillId="2" borderId="1" xfId="0" applyNumberFormat="1" applyFill="1" applyBorder="1"/>
    <xf numFmtId="49" fontId="3" fillId="2" borderId="1" xfId="0" applyNumberFormat="1" applyFont="1" applyFill="1" applyBorder="1"/>
    <xf numFmtId="0" fontId="0" fillId="2" borderId="0" xfId="0" applyFill="1"/>
    <xf numFmtId="49" fontId="2" fillId="2" borderId="1" xfId="0" applyNumberFormat="1" applyFont="1" applyFill="1" applyBorder="1"/>
    <xf numFmtId="0" fontId="2" fillId="2" borderId="1" xfId="0" applyFont="1" applyFill="1" applyBorder="1"/>
    <xf numFmtId="0" fontId="0" fillId="0" borderId="1" xfId="0" applyFill="1" applyBorder="1"/>
    <xf numFmtId="49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2" fillId="2" borderId="14" xfId="0" applyFont="1" applyFill="1" applyBorder="1" applyAlignment="1"/>
    <xf numFmtId="49" fontId="2" fillId="2" borderId="14" xfId="0" applyNumberFormat="1" applyFont="1" applyFill="1" applyBorder="1"/>
    <xf numFmtId="49" fontId="3" fillId="2" borderId="14" xfId="0" applyNumberFormat="1" applyFont="1" applyFill="1" applyBorder="1"/>
    <xf numFmtId="49" fontId="0" fillId="2" borderId="14" xfId="0" applyNumberFormat="1" applyFill="1" applyBorder="1"/>
    <xf numFmtId="49" fontId="3" fillId="0" borderId="11" xfId="0" applyNumberFormat="1" applyFont="1" applyFill="1" applyBorder="1"/>
    <xf numFmtId="49" fontId="2" fillId="0" borderId="1" xfId="0" applyNumberFormat="1" applyFont="1" applyFill="1" applyBorder="1"/>
    <xf numFmtId="49" fontId="2" fillId="0" borderId="14" xfId="0" applyNumberFormat="1" applyFont="1" applyFill="1" applyBorder="1"/>
    <xf numFmtId="49" fontId="2" fillId="0" borderId="2" xfId="0" applyNumberFormat="1" applyFont="1" applyFill="1" applyBorder="1"/>
    <xf numFmtId="49" fontId="2" fillId="0" borderId="13" xfId="0" applyNumberFormat="1" applyFont="1" applyFill="1" applyBorder="1"/>
    <xf numFmtId="4" fontId="2" fillId="0" borderId="1" xfId="0" applyNumberFormat="1" applyFont="1" applyFill="1" applyBorder="1" applyAlignment="1">
      <alignment horizontal="right"/>
    </xf>
    <xf numFmtId="49" fontId="0" fillId="0" borderId="1" xfId="0" applyNumberFormat="1" applyFont="1" applyFill="1" applyBorder="1"/>
    <xf numFmtId="49" fontId="0" fillId="0" borderId="14" xfId="0" applyNumberFormat="1" applyFont="1" applyFill="1" applyBorder="1"/>
    <xf numFmtId="49" fontId="0" fillId="0" borderId="2" xfId="0" applyNumberFormat="1" applyFont="1" applyFill="1" applyBorder="1"/>
    <xf numFmtId="49" fontId="0" fillId="0" borderId="13" xfId="0" applyNumberFormat="1" applyFont="1" applyFill="1" applyBorder="1"/>
    <xf numFmtId="4" fontId="0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left"/>
    </xf>
    <xf numFmtId="49" fontId="2" fillId="0" borderId="11" xfId="0" applyNumberFormat="1" applyFont="1" applyFill="1" applyBorder="1"/>
    <xf numFmtId="4" fontId="0" fillId="0" borderId="11" xfId="0" applyNumberFormat="1" applyFont="1" applyFill="1" applyBorder="1" applyAlignment="1">
      <alignment horizontal="right"/>
    </xf>
    <xf numFmtId="49" fontId="0" fillId="0" borderId="1" xfId="0" applyNumberFormat="1" applyFont="1" applyFill="1" applyBorder="1" applyAlignment="1">
      <alignment horizontal="left" vertical="center"/>
    </xf>
    <xf numFmtId="4" fontId="0" fillId="0" borderId="2" xfId="0" applyNumberFormat="1" applyFont="1" applyFill="1" applyBorder="1" applyAlignment="1">
      <alignment horizontal="right"/>
    </xf>
    <xf numFmtId="49" fontId="0" fillId="0" borderId="23" xfId="0" applyNumberFormat="1" applyFont="1" applyFill="1" applyBorder="1"/>
    <xf numFmtId="4" fontId="2" fillId="0" borderId="0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0" fontId="0" fillId="0" borderId="0" xfId="0" applyFill="1"/>
    <xf numFmtId="49" fontId="2" fillId="0" borderId="16" xfId="0" applyNumberFormat="1" applyFont="1" applyFill="1" applyBorder="1" applyAlignment="1">
      <alignment horizontal="left" vertical="center"/>
    </xf>
    <xf numFmtId="4" fontId="2" fillId="0" borderId="16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/>
    <xf numFmtId="49" fontId="0" fillId="0" borderId="11" xfId="0" applyNumberFormat="1" applyFill="1" applyBorder="1"/>
    <xf numFmtId="4" fontId="0" fillId="0" borderId="11" xfId="0" applyNumberFormat="1" applyFill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49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right"/>
    </xf>
    <xf numFmtId="49" fontId="0" fillId="0" borderId="2" xfId="0" applyNumberFormat="1" applyFill="1" applyBorder="1"/>
    <xf numFmtId="49" fontId="0" fillId="0" borderId="14" xfId="0" applyNumberFormat="1" applyFill="1" applyBorder="1"/>
    <xf numFmtId="49" fontId="0" fillId="0" borderId="13" xfId="0" applyNumberFormat="1" applyFill="1" applyBorder="1"/>
    <xf numFmtId="49" fontId="5" fillId="0" borderId="1" xfId="0" applyNumberFormat="1" applyFont="1" applyFill="1" applyBorder="1"/>
    <xf numFmtId="49" fontId="5" fillId="0" borderId="14" xfId="0" applyNumberFormat="1" applyFont="1" applyFill="1" applyBorder="1"/>
    <xf numFmtId="49" fontId="5" fillId="0" borderId="19" xfId="0" applyNumberFormat="1" applyFont="1" applyFill="1" applyBorder="1"/>
    <xf numFmtId="49" fontId="5" fillId="0" borderId="16" xfId="0" applyNumberFormat="1" applyFont="1" applyFill="1" applyBorder="1"/>
    <xf numFmtId="4" fontId="5" fillId="0" borderId="16" xfId="0" applyNumberFormat="1" applyFont="1" applyFill="1" applyBorder="1" applyAlignment="1">
      <alignment horizontal="right"/>
    </xf>
    <xf numFmtId="4" fontId="5" fillId="0" borderId="17" xfId="0" applyNumberFormat="1" applyFont="1" applyFill="1" applyBorder="1" applyAlignment="1">
      <alignment horizontal="right"/>
    </xf>
    <xf numFmtId="49" fontId="5" fillId="0" borderId="11" xfId="0" applyNumberFormat="1" applyFont="1" applyFill="1" applyBorder="1"/>
    <xf numFmtId="49" fontId="3" fillId="0" borderId="23" xfId="0" applyNumberFormat="1" applyFont="1" applyFill="1" applyBorder="1"/>
    <xf numFmtId="49" fontId="3" fillId="0" borderId="2" xfId="0" applyNumberFormat="1" applyFont="1" applyFill="1" applyBorder="1"/>
    <xf numFmtId="4" fontId="3" fillId="0" borderId="2" xfId="0" applyNumberFormat="1" applyFont="1" applyFill="1" applyBorder="1" applyAlignment="1">
      <alignment horizontal="right"/>
    </xf>
    <xf numFmtId="49" fontId="0" fillId="0" borderId="22" xfId="0" applyNumberFormat="1" applyFill="1" applyBorder="1"/>
    <xf numFmtId="49" fontId="0" fillId="0" borderId="23" xfId="0" applyNumberFormat="1" applyFill="1" applyBorder="1"/>
    <xf numFmtId="49" fontId="2" fillId="0" borderId="19" xfId="0" applyNumberFormat="1" applyFont="1" applyFill="1" applyBorder="1"/>
    <xf numFmtId="49" fontId="2" fillId="0" borderId="16" xfId="0" applyNumberFormat="1" applyFont="1" applyFill="1" applyBorder="1"/>
    <xf numFmtId="4" fontId="2" fillId="0" borderId="16" xfId="0" applyNumberFormat="1" applyFont="1" applyFill="1" applyBorder="1" applyAlignment="1">
      <alignment horizontal="right"/>
    </xf>
    <xf numFmtId="4" fontId="2" fillId="0" borderId="17" xfId="0" applyNumberFormat="1" applyFon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49" fontId="3" fillId="0" borderId="13" xfId="0" applyNumberFormat="1" applyFont="1" applyFill="1" applyBorder="1"/>
    <xf numFmtId="4" fontId="2" fillId="0" borderId="17" xfId="0" applyNumberFormat="1" applyFont="1" applyFill="1" applyBorder="1" applyAlignment="1">
      <alignment horizontal="center" vertical="center" wrapText="1"/>
    </xf>
    <xf numFmtId="49" fontId="0" fillId="0" borderId="10" xfId="0" applyNumberFormat="1" applyFill="1" applyBorder="1"/>
    <xf numFmtId="0" fontId="2" fillId="0" borderId="14" xfId="0" applyFont="1" applyFill="1" applyBorder="1" applyAlignment="1"/>
    <xf numFmtId="0" fontId="2" fillId="0" borderId="19" xfId="0" applyFont="1" applyFill="1" applyBorder="1" applyAlignment="1">
      <alignment horizontal="left"/>
    </xf>
    <xf numFmtId="0" fontId="0" fillId="0" borderId="16" xfId="0" applyFill="1" applyBorder="1"/>
    <xf numFmtId="0" fontId="2" fillId="0" borderId="16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left"/>
    </xf>
    <xf numFmtId="4" fontId="2" fillId="0" borderId="16" xfId="0" applyNumberFormat="1" applyFont="1" applyFill="1" applyBorder="1"/>
    <xf numFmtId="0" fontId="2" fillId="0" borderId="0" xfId="0" applyFont="1" applyFill="1"/>
    <xf numFmtId="0" fontId="0" fillId="0" borderId="14" xfId="0" applyFill="1" applyBorder="1"/>
    <xf numFmtId="49" fontId="0" fillId="0" borderId="16" xfId="0" applyNumberFormat="1" applyFill="1" applyBorder="1"/>
    <xf numFmtId="49" fontId="3" fillId="0" borderId="14" xfId="0" applyNumberFormat="1" applyFont="1" applyFill="1" applyBorder="1"/>
    <xf numFmtId="4" fontId="0" fillId="0" borderId="0" xfId="0" applyNumberFormat="1" applyFill="1"/>
    <xf numFmtId="49" fontId="3" fillId="0" borderId="16" xfId="0" applyNumberFormat="1" applyFont="1" applyFill="1" applyBorder="1"/>
    <xf numFmtId="49" fontId="0" fillId="0" borderId="3" xfId="0" applyNumberFormat="1" applyFill="1" applyBorder="1"/>
    <xf numFmtId="49" fontId="0" fillId="0" borderId="19" xfId="0" applyNumberFormat="1" applyFill="1" applyBorder="1"/>
    <xf numFmtId="49" fontId="2" fillId="0" borderId="2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49" fontId="2" fillId="0" borderId="31" xfId="0" applyNumberFormat="1" applyFont="1" applyFill="1" applyBorder="1"/>
    <xf numFmtId="49" fontId="2" fillId="0" borderId="28" xfId="0" applyNumberFormat="1" applyFont="1" applyFill="1" applyBorder="1"/>
    <xf numFmtId="4" fontId="2" fillId="0" borderId="28" xfId="0" applyNumberFormat="1" applyFont="1" applyFill="1" applyBorder="1" applyAlignment="1">
      <alignment horizontal="right"/>
    </xf>
    <xf numFmtId="4" fontId="2" fillId="0" borderId="25" xfId="0" applyNumberFormat="1" applyFont="1" applyFill="1" applyBorder="1" applyAlignment="1">
      <alignment horizontal="right"/>
    </xf>
    <xf numFmtId="4" fontId="0" fillId="0" borderId="10" xfId="0" applyNumberFormat="1" applyFill="1" applyBorder="1" applyAlignment="1">
      <alignment horizontal="right"/>
    </xf>
    <xf numFmtId="49" fontId="0" fillId="0" borderId="26" xfId="0" applyNumberFormat="1" applyFill="1" applyBorder="1" applyAlignment="1">
      <alignment horizontal="center"/>
    </xf>
    <xf numFmtId="49" fontId="0" fillId="0" borderId="27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41" xfId="0" applyNumberFormat="1" applyFill="1" applyBorder="1" applyAlignment="1">
      <alignment horizontal="center"/>
    </xf>
    <xf numFmtId="49" fontId="0" fillId="0" borderId="42" xfId="0" applyNumberFormat="1" applyFill="1" applyBorder="1" applyAlignment="1">
      <alignment horizontal="center"/>
    </xf>
    <xf numFmtId="49" fontId="5" fillId="0" borderId="20" xfId="0" applyNumberFormat="1" applyFont="1" applyFill="1" applyBorder="1"/>
    <xf numFmtId="49" fontId="0" fillId="0" borderId="28" xfId="0" applyNumberFormat="1" applyFill="1" applyBorder="1"/>
    <xf numFmtId="49" fontId="0" fillId="0" borderId="11" xfId="0" applyNumberFormat="1" applyFont="1" applyFill="1" applyBorder="1" applyAlignment="1">
      <alignment horizontal="left" vertical="center"/>
    </xf>
    <xf numFmtId="4" fontId="0" fillId="0" borderId="11" xfId="0" applyNumberFormat="1" applyFill="1" applyBorder="1" applyAlignment="1">
      <alignment horizontal="right" vertical="center" wrapText="1"/>
    </xf>
    <xf numFmtId="4" fontId="0" fillId="0" borderId="11" xfId="0" applyNumberFormat="1" applyFon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49" fontId="0" fillId="0" borderId="15" xfId="0" applyNumberFormat="1" applyFill="1" applyBorder="1"/>
    <xf numFmtId="49" fontId="0" fillId="0" borderId="18" xfId="0" applyNumberFormat="1" applyFill="1" applyBorder="1"/>
    <xf numFmtId="49" fontId="3" fillId="0" borderId="32" xfId="0" applyNumberFormat="1" applyFont="1" applyFill="1" applyBorder="1" applyAlignment="1"/>
    <xf numFmtId="4" fontId="0" fillId="0" borderId="1" xfId="0" applyNumberFormat="1" applyFill="1" applyBorder="1"/>
    <xf numFmtId="0" fontId="0" fillId="0" borderId="1" xfId="0" applyFill="1" applyBorder="1" applyAlignment="1">
      <alignment horizontal="left"/>
    </xf>
    <xf numFmtId="4" fontId="2" fillId="0" borderId="0" xfId="0" applyNumberFormat="1" applyFont="1" applyFill="1"/>
    <xf numFmtId="49" fontId="0" fillId="0" borderId="12" xfId="0" applyNumberFormat="1" applyFill="1" applyBorder="1"/>
    <xf numFmtId="49" fontId="2" fillId="0" borderId="22" xfId="0" applyNumberFormat="1" applyFont="1" applyFill="1" applyBorder="1"/>
    <xf numFmtId="49" fontId="3" fillId="0" borderId="30" xfId="0" applyNumberFormat="1" applyFont="1" applyFill="1" applyBorder="1"/>
    <xf numFmtId="0" fontId="0" fillId="0" borderId="13" xfId="0" applyFill="1" applyBorder="1"/>
    <xf numFmtId="49" fontId="2" fillId="0" borderId="15" xfId="0" applyNumberFormat="1" applyFont="1" applyFill="1" applyBorder="1"/>
    <xf numFmtId="49" fontId="2" fillId="0" borderId="18" xfId="0" applyNumberFormat="1" applyFont="1" applyFill="1" applyBorder="1"/>
    <xf numFmtId="49" fontId="0" fillId="0" borderId="20" xfId="0" applyNumberFormat="1" applyFill="1" applyBorder="1"/>
    <xf numFmtId="49" fontId="0" fillId="0" borderId="22" xfId="0" applyNumberFormat="1" applyFill="1" applyBorder="1" applyAlignment="1">
      <alignment horizontal="left"/>
    </xf>
    <xf numFmtId="49" fontId="0" fillId="0" borderId="13" xfId="0" applyNumberFormat="1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0" fillId="0" borderId="2" xfId="0" applyFill="1" applyBorder="1"/>
    <xf numFmtId="4" fontId="0" fillId="0" borderId="2" xfId="0" applyNumberFormat="1" applyFill="1" applyBorder="1"/>
    <xf numFmtId="49" fontId="0" fillId="0" borderId="0" xfId="0" applyNumberFormat="1" applyFill="1" applyBorder="1"/>
    <xf numFmtId="0" fontId="2" fillId="0" borderId="16" xfId="0" applyFont="1" applyFill="1" applyBorder="1"/>
    <xf numFmtId="4" fontId="2" fillId="0" borderId="17" xfId="0" applyNumberFormat="1" applyFont="1" applyFill="1" applyBorder="1"/>
    <xf numFmtId="4" fontId="0" fillId="0" borderId="16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11" xfId="0" applyNumberFormat="1" applyFill="1" applyBorder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16" xfId="0" applyNumberFormat="1" applyFill="1" applyBorder="1" applyAlignment="1">
      <alignment horizontal="left"/>
    </xf>
    <xf numFmtId="4" fontId="2" fillId="0" borderId="2" xfId="0" applyNumberFormat="1" applyFont="1" applyFill="1" applyBorder="1" applyAlignment="1">
      <alignment horizontal="right"/>
    </xf>
    <xf numFmtId="0" fontId="0" fillId="0" borderId="11" xfId="0" applyNumberFormat="1" applyFill="1" applyBorder="1" applyAlignment="1">
      <alignment horizontal="left"/>
    </xf>
    <xf numFmtId="0" fontId="0" fillId="0" borderId="1" xfId="0" applyNumberForma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0" fillId="0" borderId="2" xfId="0" applyNumberFormat="1" applyFill="1" applyBorder="1" applyAlignment="1">
      <alignment horizontal="left"/>
    </xf>
    <xf numFmtId="0" fontId="2" fillId="0" borderId="16" xfId="0" applyNumberFormat="1" applyFont="1" applyFill="1" applyBorder="1"/>
    <xf numFmtId="49" fontId="0" fillId="0" borderId="35" xfId="0" applyNumberFormat="1" applyFill="1" applyBorder="1"/>
    <xf numFmtId="4" fontId="0" fillId="0" borderId="36" xfId="0" applyNumberFormat="1" applyFill="1" applyBorder="1" applyAlignment="1">
      <alignment horizontal="right"/>
    </xf>
    <xf numFmtId="0" fontId="2" fillId="0" borderId="33" xfId="0" applyFont="1" applyFill="1" applyBorder="1" applyAlignment="1">
      <alignment horizontal="center"/>
    </xf>
    <xf numFmtId="0" fontId="0" fillId="0" borderId="22" xfId="0" applyFill="1" applyBorder="1" applyAlignment="1">
      <alignment horizontal="left"/>
    </xf>
    <xf numFmtId="0" fontId="0" fillId="0" borderId="11" xfId="0" applyFill="1" applyBorder="1"/>
    <xf numFmtId="4" fontId="0" fillId="0" borderId="11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32" xfId="0" applyFont="1" applyFill="1" applyBorder="1"/>
    <xf numFmtId="4" fontId="2" fillId="0" borderId="28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/>
    <xf numFmtId="4" fontId="1" fillId="0" borderId="2" xfId="0" applyNumberFormat="1" applyFont="1" applyFill="1" applyBorder="1"/>
    <xf numFmtId="0" fontId="2" fillId="0" borderId="8" xfId="0" applyFont="1" applyFill="1" applyBorder="1" applyAlignment="1">
      <alignment horizontal="left"/>
    </xf>
    <xf numFmtId="0" fontId="2" fillId="0" borderId="4" xfId="0" applyFont="1" applyFill="1" applyBorder="1"/>
    <xf numFmtId="0" fontId="0" fillId="0" borderId="10" xfId="0" applyFill="1" applyBorder="1"/>
    <xf numFmtId="0" fontId="0" fillId="0" borderId="5" xfId="0" applyFill="1" applyBorder="1"/>
    <xf numFmtId="0" fontId="2" fillId="0" borderId="24" xfId="0" applyFont="1" applyFill="1" applyBorder="1" applyAlignment="1">
      <alignment horizontal="left"/>
    </xf>
    <xf numFmtId="0" fontId="2" fillId="0" borderId="38" xfId="0" applyFont="1" applyFill="1" applyBorder="1"/>
    <xf numFmtId="4" fontId="2" fillId="0" borderId="38" xfId="0" applyNumberFormat="1" applyFont="1" applyFill="1" applyBorder="1"/>
    <xf numFmtId="4" fontId="2" fillId="0" borderId="39" xfId="0" applyNumberFormat="1" applyFont="1" applyFill="1" applyBorder="1"/>
    <xf numFmtId="49" fontId="5" fillId="0" borderId="32" xfId="0" applyNumberFormat="1" applyFont="1" applyFill="1" applyBorder="1" applyAlignment="1"/>
    <xf numFmtId="49" fontId="5" fillId="0" borderId="33" xfId="0" applyNumberFormat="1" applyFont="1" applyFill="1" applyBorder="1" applyAlignment="1"/>
    <xf numFmtId="49" fontId="5" fillId="0" borderId="34" xfId="0" applyNumberFormat="1" applyFont="1" applyFill="1" applyBorder="1" applyAlignme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left" vertical="center"/>
    </xf>
    <xf numFmtId="4" fontId="2" fillId="2" borderId="16" xfId="0" applyNumberFormat="1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right"/>
    </xf>
    <xf numFmtId="4" fontId="2" fillId="2" borderId="3" xfId="0" applyNumberFormat="1" applyFont="1" applyFill="1" applyBorder="1"/>
    <xf numFmtId="49" fontId="0" fillId="0" borderId="32" xfId="0" applyNumberFormat="1" applyFill="1" applyBorder="1" applyAlignment="1"/>
    <xf numFmtId="49" fontId="0" fillId="0" borderId="33" xfId="0" applyNumberFormat="1" applyFill="1" applyBorder="1" applyAlignment="1"/>
    <xf numFmtId="49" fontId="2" fillId="0" borderId="1" xfId="0" applyNumberFormat="1" applyFont="1" applyFill="1" applyBorder="1" applyAlignment="1">
      <alignment horizontal="left"/>
    </xf>
    <xf numFmtId="49" fontId="2" fillId="2" borderId="37" xfId="0" applyNumberFormat="1" applyFont="1" applyFill="1" applyBorder="1" applyAlignment="1">
      <alignment horizontal="center" vertical="center"/>
    </xf>
    <xf numFmtId="49" fontId="0" fillId="0" borderId="46" xfId="0" applyNumberFormat="1" applyFill="1" applyBorder="1"/>
    <xf numFmtId="49" fontId="3" fillId="0" borderId="26" xfId="0" applyNumberFormat="1" applyFont="1" applyFill="1" applyBorder="1" applyAlignment="1"/>
    <xf numFmtId="49" fontId="2" fillId="0" borderId="32" xfId="0" applyNumberFormat="1" applyFont="1" applyFill="1" applyBorder="1" applyAlignment="1"/>
    <xf numFmtId="49" fontId="2" fillId="0" borderId="33" xfId="0" applyNumberFormat="1" applyFont="1" applyFill="1" applyBorder="1" applyAlignment="1"/>
    <xf numFmtId="49" fontId="2" fillId="0" borderId="34" xfId="0" applyNumberFormat="1" applyFont="1" applyFill="1" applyBorder="1" applyAlignment="1"/>
    <xf numFmtId="49" fontId="0" fillId="2" borderId="0" xfId="0" applyNumberFormat="1" applyFill="1" applyBorder="1"/>
    <xf numFmtId="4" fontId="5" fillId="2" borderId="3" xfId="0" applyNumberFormat="1" applyFont="1" applyFill="1" applyBorder="1"/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/>
    </xf>
    <xf numFmtId="0" fontId="0" fillId="2" borderId="14" xfId="0" applyFill="1" applyBorder="1"/>
    <xf numFmtId="0" fontId="0" fillId="2" borderId="3" xfId="0" applyFill="1" applyBorder="1"/>
    <xf numFmtId="49" fontId="2" fillId="2" borderId="38" xfId="0" applyNumberFormat="1" applyFont="1" applyFill="1" applyBorder="1" applyAlignment="1">
      <alignment horizontal="center" vertical="center"/>
    </xf>
    <xf numFmtId="49" fontId="2" fillId="2" borderId="38" xfId="0" applyNumberFormat="1" applyFont="1" applyFill="1" applyBorder="1" applyAlignment="1">
      <alignment horizontal="left" vertical="center"/>
    </xf>
    <xf numFmtId="4" fontId="2" fillId="2" borderId="38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/>
    <xf numFmtId="49" fontId="3" fillId="0" borderId="5" xfId="0" applyNumberFormat="1" applyFont="1" applyFill="1" applyBorder="1" applyAlignment="1"/>
    <xf numFmtId="49" fontId="5" fillId="0" borderId="15" xfId="0" applyNumberFormat="1" applyFont="1" applyFill="1" applyBorder="1"/>
    <xf numFmtId="0" fontId="3" fillId="0" borderId="0" xfId="0" applyFont="1" applyFill="1"/>
    <xf numFmtId="49" fontId="0" fillId="0" borderId="32" xfId="0" applyNumberFormat="1" applyFill="1" applyBorder="1" applyAlignment="1">
      <alignment horizontal="center"/>
    </xf>
    <xf numFmtId="49" fontId="0" fillId="0" borderId="33" xfId="0" applyNumberFormat="1" applyFill="1" applyBorder="1" applyAlignment="1">
      <alignment horizontal="center"/>
    </xf>
    <xf numFmtId="49" fontId="0" fillId="0" borderId="34" xfId="0" applyNumberForma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/>
    <xf numFmtId="0" fontId="9" fillId="0" borderId="0" xfId="0" applyFont="1" applyFill="1"/>
    <xf numFmtId="49" fontId="0" fillId="0" borderId="47" xfId="0" applyNumberFormat="1" applyFill="1" applyBorder="1"/>
    <xf numFmtId="4" fontId="0" fillId="0" borderId="48" xfId="0" applyNumberFormat="1" applyFill="1" applyBorder="1" applyAlignment="1">
      <alignment horizontal="right"/>
    </xf>
    <xf numFmtId="49" fontId="0" fillId="0" borderId="49" xfId="0" applyNumberFormat="1" applyFill="1" applyBorder="1"/>
    <xf numFmtId="4" fontId="0" fillId="0" borderId="6" xfId="0" applyNumberFormat="1" applyFill="1" applyBorder="1" applyAlignment="1">
      <alignment horizontal="right"/>
    </xf>
    <xf numFmtId="49" fontId="0" fillId="0" borderId="50" xfId="0" applyNumberFormat="1" applyFill="1" applyBorder="1"/>
    <xf numFmtId="4" fontId="0" fillId="0" borderId="7" xfId="0" applyNumberFormat="1" applyFill="1" applyBorder="1" applyAlignment="1">
      <alignment horizontal="right"/>
    </xf>
    <xf numFmtId="0" fontId="2" fillId="2" borderId="19" xfId="0" applyFont="1" applyFill="1" applyBorder="1" applyAlignment="1">
      <alignment horizontal="left"/>
    </xf>
    <xf numFmtId="0" fontId="0" fillId="2" borderId="16" xfId="0" applyFill="1" applyBorder="1"/>
    <xf numFmtId="0" fontId="2" fillId="2" borderId="16" xfId="0" applyFont="1" applyFill="1" applyBorder="1"/>
    <xf numFmtId="4" fontId="2" fillId="2" borderId="16" xfId="0" applyNumberFormat="1" applyFont="1" applyFill="1" applyBorder="1"/>
    <xf numFmtId="4" fontId="2" fillId="2" borderId="17" xfId="0" applyNumberFormat="1" applyFont="1" applyFill="1" applyBorder="1"/>
    <xf numFmtId="49" fontId="1" fillId="0" borderId="14" xfId="0" applyNumberFormat="1" applyFont="1" applyFill="1" applyBorder="1"/>
    <xf numFmtId="49" fontId="0" fillId="0" borderId="30" xfId="0" applyNumberFormat="1" applyFill="1" applyBorder="1"/>
    <xf numFmtId="49" fontId="0" fillId="0" borderId="14" xfId="0" applyNumberFormat="1" applyFill="1" applyBorder="1" applyAlignment="1">
      <alignment horizontal="left" vertical="center"/>
    </xf>
    <xf numFmtId="49" fontId="1" fillId="0" borderId="49" xfId="0" applyNumberFormat="1" applyFont="1" applyFill="1" applyBorder="1"/>
    <xf numFmtId="4" fontId="0" fillId="0" borderId="6" xfId="0" applyNumberFormat="1" applyFont="1" applyFill="1" applyBorder="1" applyAlignment="1">
      <alignment horizontal="right"/>
    </xf>
    <xf numFmtId="4" fontId="3" fillId="0" borderId="6" xfId="0" applyNumberFormat="1" applyFont="1" applyFill="1" applyBorder="1" applyAlignment="1">
      <alignment horizontal="right"/>
    </xf>
    <xf numFmtId="4" fontId="0" fillId="0" borderId="7" xfId="0" applyNumberFormat="1" applyFont="1" applyFill="1" applyBorder="1" applyAlignment="1">
      <alignment horizontal="right"/>
    </xf>
    <xf numFmtId="4" fontId="3" fillId="0" borderId="7" xfId="0" applyNumberFormat="1" applyFont="1" applyFill="1" applyBorder="1" applyAlignment="1">
      <alignment horizontal="right"/>
    </xf>
    <xf numFmtId="49" fontId="2" fillId="0" borderId="49" xfId="0" applyNumberFormat="1" applyFont="1" applyFill="1" applyBorder="1"/>
    <xf numFmtId="4" fontId="2" fillId="0" borderId="6" xfId="0" applyNumberFormat="1" applyFont="1" applyFill="1" applyBorder="1" applyAlignment="1">
      <alignment horizontal="right"/>
    </xf>
    <xf numFmtId="49" fontId="2" fillId="0" borderId="49" xfId="0" applyNumberFormat="1" applyFont="1" applyFill="1" applyBorder="1" applyAlignment="1">
      <alignment horizontal="left"/>
    </xf>
    <xf numFmtId="49" fontId="0" fillId="0" borderId="47" xfId="0" applyNumberFormat="1" applyFont="1" applyFill="1" applyBorder="1" applyAlignment="1">
      <alignment horizontal="left" vertical="center"/>
    </xf>
    <xf numFmtId="4" fontId="0" fillId="0" borderId="48" xfId="0" applyNumberFormat="1" applyFont="1" applyFill="1" applyBorder="1" applyAlignment="1">
      <alignment horizontal="right" vertical="center" wrapText="1"/>
    </xf>
    <xf numFmtId="49" fontId="0" fillId="0" borderId="49" xfId="0" applyNumberFormat="1" applyFont="1" applyFill="1" applyBorder="1" applyAlignment="1">
      <alignment horizontal="left" vertical="center"/>
    </xf>
    <xf numFmtId="4" fontId="0" fillId="0" borderId="6" xfId="0" applyNumberFormat="1" applyFont="1" applyFill="1" applyBorder="1" applyAlignment="1">
      <alignment horizontal="right" vertical="center" wrapText="1"/>
    </xf>
    <xf numFmtId="4" fontId="2" fillId="2" borderId="39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Fill="1" applyBorder="1"/>
    <xf numFmtId="49" fontId="0" fillId="0" borderId="29" xfId="0" applyNumberFormat="1" applyFill="1" applyBorder="1"/>
    <xf numFmtId="49" fontId="0" fillId="0" borderId="37" xfId="0" applyNumberFormat="1" applyFill="1" applyBorder="1"/>
    <xf numFmtId="4" fontId="2" fillId="0" borderId="7" xfId="0" applyNumberFormat="1" applyFont="1" applyFill="1" applyBorder="1" applyAlignment="1">
      <alignment horizontal="right"/>
    </xf>
    <xf numFmtId="49" fontId="2" fillId="0" borderId="50" xfId="0" applyNumberFormat="1" applyFont="1" applyFill="1" applyBorder="1"/>
    <xf numFmtId="0" fontId="2" fillId="2" borderId="3" xfId="0" applyFont="1" applyFill="1" applyBorder="1"/>
    <xf numFmtId="0" fontId="2" fillId="0" borderId="32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49" fontId="0" fillId="0" borderId="32" xfId="0" applyNumberFormat="1" applyFill="1" applyBorder="1" applyAlignment="1">
      <alignment horizontal="center"/>
    </xf>
    <xf numFmtId="49" fontId="0" fillId="0" borderId="33" xfId="0" applyNumberFormat="1" applyFill="1" applyBorder="1" applyAlignment="1">
      <alignment horizontal="center"/>
    </xf>
    <xf numFmtId="49" fontId="0" fillId="0" borderId="34" xfId="0" applyNumberFormat="1" applyFill="1" applyBorder="1" applyAlignment="1">
      <alignment horizontal="center"/>
    </xf>
    <xf numFmtId="49" fontId="0" fillId="0" borderId="33" xfId="0" applyNumberFormat="1" applyFont="1" applyFill="1" applyBorder="1" applyAlignment="1">
      <alignment horizontal="center"/>
    </xf>
    <xf numFmtId="49" fontId="0" fillId="0" borderId="34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0" fillId="0" borderId="32" xfId="0" applyNumberFormat="1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</cellXfs>
  <cellStyles count="2">
    <cellStyle name="Normálna" xfId="0" builtinId="0"/>
    <cellStyle name="normálne_Háro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238"/>
  <sheetViews>
    <sheetView tabSelected="1" showWhiteSpace="0" view="pageLayout" topLeftCell="C1203" zoomScaleNormal="110" workbookViewId="0">
      <selection activeCell="G1225" sqref="G1225"/>
    </sheetView>
  </sheetViews>
  <sheetFormatPr defaultRowHeight="15" outlineLevelRow="2" outlineLevelCol="1" x14ac:dyDescent="0.25"/>
  <cols>
    <col min="1" max="1" width="7.7109375" style="36" hidden="1" customWidth="1" outlineLevel="1"/>
    <col min="2" max="2" width="10.85546875" style="36" hidden="1" customWidth="1" outlineLevel="1"/>
    <col min="3" max="3" width="9.140625" style="36" collapsed="1"/>
    <col min="4" max="4" width="9.140625" style="36"/>
    <col min="5" max="5" width="14.42578125" style="36" hidden="1" customWidth="1" outlineLevel="1"/>
    <col min="6" max="6" width="4.5703125" style="36" hidden="1" customWidth="1" outlineLevel="1"/>
    <col min="7" max="7" width="42.5703125" style="36" customWidth="1" collapsed="1"/>
    <col min="8" max="10" width="12.140625" style="36" customWidth="1"/>
    <col min="11" max="11" width="12.85546875" style="36" hidden="1" customWidth="1" outlineLevel="1"/>
    <col min="12" max="12" width="12.140625" style="36" customWidth="1" collapsed="1"/>
    <col min="13" max="13" width="15.42578125" style="36" hidden="1" customWidth="1" outlineLevel="1"/>
    <col min="14" max="14" width="12.140625" style="36" customWidth="1" collapsed="1"/>
    <col min="15" max="16" width="12.140625" style="36" customWidth="1"/>
    <col min="17" max="17" width="12.140625" style="36" hidden="1" customWidth="1" outlineLevel="1"/>
    <col min="18" max="18" width="10.85546875" style="36" hidden="1" customWidth="1" outlineLevel="1"/>
    <col min="19" max="19" width="0" style="36" hidden="1" customWidth="1" outlineLevel="1"/>
    <col min="20" max="20" width="11.7109375" style="36" customWidth="1" collapsed="1"/>
    <col min="21" max="16384" width="9.140625" style="36"/>
  </cols>
  <sheetData>
    <row r="1" spans="1:16" ht="30.75" thickBot="1" x14ac:dyDescent="0.3">
      <c r="A1" s="32" t="s">
        <v>0</v>
      </c>
      <c r="B1" s="33" t="s">
        <v>5</v>
      </c>
      <c r="C1" s="161" t="s">
        <v>1</v>
      </c>
      <c r="D1" s="162" t="s">
        <v>2</v>
      </c>
      <c r="E1" s="162" t="s">
        <v>3</v>
      </c>
      <c r="F1" s="162" t="s">
        <v>4</v>
      </c>
      <c r="G1" s="162" t="s">
        <v>6</v>
      </c>
      <c r="H1" s="181" t="s">
        <v>463</v>
      </c>
      <c r="I1" s="181" t="s">
        <v>464</v>
      </c>
      <c r="J1" s="181" t="s">
        <v>465</v>
      </c>
      <c r="K1" s="181" t="s">
        <v>466</v>
      </c>
      <c r="L1" s="181" t="s">
        <v>467</v>
      </c>
      <c r="M1" s="181" t="s">
        <v>10</v>
      </c>
      <c r="N1" s="181" t="s">
        <v>7</v>
      </c>
      <c r="O1" s="181" t="s">
        <v>8</v>
      </c>
      <c r="P1" s="182" t="s">
        <v>9</v>
      </c>
    </row>
    <row r="2" spans="1:16" ht="15.75" thickBot="1" x14ac:dyDescent="0.3">
      <c r="A2" s="159"/>
      <c r="B2" s="160"/>
      <c r="C2" s="161" t="s">
        <v>611</v>
      </c>
      <c r="D2" s="162"/>
      <c r="E2" s="162"/>
      <c r="F2" s="162"/>
      <c r="G2" s="163" t="s">
        <v>597</v>
      </c>
      <c r="H2" s="164">
        <f>H197+H212+H220+H228+H235+H236+H253</f>
        <v>563689.02000000014</v>
      </c>
      <c r="I2" s="189">
        <f t="shared" ref="I2:P2" si="0">I197+I212+I220+I228+I235+I236+I253</f>
        <v>664734.71999999997</v>
      </c>
      <c r="J2" s="164">
        <f t="shared" si="0"/>
        <v>659346.30000000005</v>
      </c>
      <c r="K2" s="164">
        <f t="shared" si="0"/>
        <v>775006.91</v>
      </c>
      <c r="L2" s="164">
        <f t="shared" si="0"/>
        <v>672066.32664736849</v>
      </c>
      <c r="M2" s="164">
        <f t="shared" si="0"/>
        <v>501841.02999999997</v>
      </c>
      <c r="N2" s="164">
        <f t="shared" si="0"/>
        <v>744144</v>
      </c>
      <c r="O2" s="164">
        <f t="shared" si="0"/>
        <v>744144</v>
      </c>
      <c r="P2" s="165">
        <f t="shared" si="0"/>
        <v>744144</v>
      </c>
    </row>
    <row r="3" spans="1:16" hidden="1" outlineLevel="1" x14ac:dyDescent="0.25">
      <c r="A3" s="39" t="s">
        <v>11</v>
      </c>
      <c r="B3" s="46" t="s">
        <v>483</v>
      </c>
      <c r="C3" s="200" t="s">
        <v>12</v>
      </c>
      <c r="D3" s="40" t="s">
        <v>13</v>
      </c>
      <c r="E3" s="40" t="s">
        <v>17</v>
      </c>
      <c r="F3" s="40" t="s">
        <v>18</v>
      </c>
      <c r="G3" s="40" t="s">
        <v>19</v>
      </c>
      <c r="H3" s="41">
        <v>217492.94</v>
      </c>
      <c r="I3" s="41">
        <v>227509.54</v>
      </c>
      <c r="J3" s="41">
        <v>63283</v>
      </c>
      <c r="K3" s="41">
        <v>70283</v>
      </c>
      <c r="L3" s="41">
        <f>M3/10*12.5</f>
        <v>45445.25</v>
      </c>
      <c r="M3" s="41">
        <v>36356.199999999997</v>
      </c>
      <c r="N3" s="41">
        <v>73916</v>
      </c>
      <c r="O3" s="41">
        <f t="shared" ref="O3:O17" si="1">N3</f>
        <v>73916</v>
      </c>
      <c r="P3" s="201">
        <f t="shared" ref="P3:P17" si="2">N3</f>
        <v>73916</v>
      </c>
    </row>
    <row r="4" spans="1:16" hidden="1" outlineLevel="1" x14ac:dyDescent="0.25">
      <c r="A4" s="39" t="s">
        <v>11</v>
      </c>
      <c r="B4" s="46" t="s">
        <v>486</v>
      </c>
      <c r="C4" s="202" t="s">
        <v>12</v>
      </c>
      <c r="D4" s="39" t="s">
        <v>13</v>
      </c>
      <c r="E4" s="39" t="s">
        <v>17</v>
      </c>
      <c r="F4" s="39" t="s">
        <v>18</v>
      </c>
      <c r="G4" s="39" t="s">
        <v>19</v>
      </c>
      <c r="H4" s="42">
        <v>0</v>
      </c>
      <c r="I4" s="42">
        <v>0</v>
      </c>
      <c r="J4" s="42">
        <v>57670</v>
      </c>
      <c r="K4" s="42">
        <v>50670</v>
      </c>
      <c r="L4" s="42">
        <f>M4/10*13</f>
        <v>50203.387000000002</v>
      </c>
      <c r="M4" s="42">
        <v>38617.99</v>
      </c>
      <c r="N4" s="42">
        <v>80041</v>
      </c>
      <c r="O4" s="42">
        <f t="shared" si="1"/>
        <v>80041</v>
      </c>
      <c r="P4" s="203">
        <f t="shared" si="2"/>
        <v>80041</v>
      </c>
    </row>
    <row r="5" spans="1:16" hidden="1" outlineLevel="1" x14ac:dyDescent="0.25">
      <c r="A5" s="43"/>
      <c r="B5" s="211" t="s">
        <v>486</v>
      </c>
      <c r="C5" s="214" t="s">
        <v>12</v>
      </c>
      <c r="D5" s="43" t="s">
        <v>13</v>
      </c>
      <c r="E5" s="43" t="s">
        <v>14</v>
      </c>
      <c r="F5" s="43" t="s">
        <v>18</v>
      </c>
      <c r="G5" s="43" t="s">
        <v>19</v>
      </c>
      <c r="H5" s="44">
        <v>0</v>
      </c>
      <c r="I5" s="44">
        <v>0</v>
      </c>
      <c r="J5" s="44">
        <v>0</v>
      </c>
      <c r="K5" s="44">
        <v>0</v>
      </c>
      <c r="L5" s="44">
        <v>0</v>
      </c>
      <c r="M5" s="44">
        <v>0</v>
      </c>
      <c r="N5" s="44">
        <v>10440</v>
      </c>
      <c r="O5" s="42">
        <f t="shared" si="1"/>
        <v>10440</v>
      </c>
      <c r="P5" s="203">
        <f t="shared" si="2"/>
        <v>10440</v>
      </c>
    </row>
    <row r="6" spans="1:16" hidden="1" outlineLevel="1" x14ac:dyDescent="0.25">
      <c r="A6" s="39" t="s">
        <v>11</v>
      </c>
      <c r="B6" s="46" t="s">
        <v>487</v>
      </c>
      <c r="C6" s="202" t="s">
        <v>12</v>
      </c>
      <c r="D6" s="39" t="s">
        <v>13</v>
      </c>
      <c r="E6" s="39" t="s">
        <v>17</v>
      </c>
      <c r="F6" s="39" t="s">
        <v>18</v>
      </c>
      <c r="G6" s="39" t="s">
        <v>19</v>
      </c>
      <c r="H6" s="42">
        <v>0</v>
      </c>
      <c r="I6" s="42">
        <v>0</v>
      </c>
      <c r="J6" s="42">
        <v>29521</v>
      </c>
      <c r="K6" s="42">
        <v>28521</v>
      </c>
      <c r="L6" s="42">
        <v>30013.32</v>
      </c>
      <c r="M6" s="42">
        <v>25408.32</v>
      </c>
      <c r="N6" s="42">
        <v>26234</v>
      </c>
      <c r="O6" s="42">
        <f t="shared" si="1"/>
        <v>26234</v>
      </c>
      <c r="P6" s="203">
        <f t="shared" si="2"/>
        <v>26234</v>
      </c>
    </row>
    <row r="7" spans="1:16" hidden="1" outlineLevel="1" x14ac:dyDescent="0.25">
      <c r="A7" s="39" t="s">
        <v>11</v>
      </c>
      <c r="B7" s="46" t="s">
        <v>488</v>
      </c>
      <c r="C7" s="202" t="s">
        <v>12</v>
      </c>
      <c r="D7" s="39" t="s">
        <v>13</v>
      </c>
      <c r="E7" s="39" t="s">
        <v>17</v>
      </c>
      <c r="F7" s="39" t="s">
        <v>18</v>
      </c>
      <c r="G7" s="39" t="s">
        <v>19</v>
      </c>
      <c r="H7" s="42">
        <v>0</v>
      </c>
      <c r="I7" s="42">
        <v>0</v>
      </c>
      <c r="J7" s="42">
        <v>29211</v>
      </c>
      <c r="K7" s="42">
        <v>29211</v>
      </c>
      <c r="L7" s="42">
        <v>22455.88</v>
      </c>
      <c r="M7" s="42">
        <v>19627.88</v>
      </c>
      <c r="N7" s="42">
        <v>15500</v>
      </c>
      <c r="O7" s="42">
        <f t="shared" si="1"/>
        <v>15500</v>
      </c>
      <c r="P7" s="203">
        <f t="shared" si="2"/>
        <v>15500</v>
      </c>
    </row>
    <row r="8" spans="1:16" hidden="1" outlineLevel="1" x14ac:dyDescent="0.25">
      <c r="A8" s="39" t="s">
        <v>11</v>
      </c>
      <c r="B8" s="46" t="s">
        <v>489</v>
      </c>
      <c r="C8" s="202" t="s">
        <v>12</v>
      </c>
      <c r="D8" s="39" t="s">
        <v>13</v>
      </c>
      <c r="E8" s="39" t="s">
        <v>17</v>
      </c>
      <c r="F8" s="39" t="s">
        <v>18</v>
      </c>
      <c r="G8" s="39" t="s">
        <v>19</v>
      </c>
      <c r="H8" s="42">
        <v>0</v>
      </c>
      <c r="I8" s="42">
        <v>0</v>
      </c>
      <c r="J8" s="42">
        <v>32750</v>
      </c>
      <c r="K8" s="42">
        <v>32750</v>
      </c>
      <c r="L8" s="42">
        <v>33593.919999999998</v>
      </c>
      <c r="M8" s="42">
        <v>25317.919999999998</v>
      </c>
      <c r="N8" s="42">
        <v>46730</v>
      </c>
      <c r="O8" s="42">
        <f t="shared" si="1"/>
        <v>46730</v>
      </c>
      <c r="P8" s="203">
        <f t="shared" si="2"/>
        <v>46730</v>
      </c>
    </row>
    <row r="9" spans="1:16" hidden="1" outlineLevel="1" x14ac:dyDescent="0.25">
      <c r="A9" s="39" t="s">
        <v>11</v>
      </c>
      <c r="B9" s="46" t="s">
        <v>490</v>
      </c>
      <c r="C9" s="202" t="s">
        <v>12</v>
      </c>
      <c r="D9" s="39" t="s">
        <v>13</v>
      </c>
      <c r="E9" s="39" t="s">
        <v>17</v>
      </c>
      <c r="F9" s="39" t="s">
        <v>18</v>
      </c>
      <c r="G9" s="39" t="s">
        <v>19</v>
      </c>
      <c r="H9" s="42">
        <v>0</v>
      </c>
      <c r="I9" s="42">
        <v>0</v>
      </c>
      <c r="J9" s="42">
        <v>11008</v>
      </c>
      <c r="K9" s="42">
        <v>11008</v>
      </c>
      <c r="L9" s="42">
        <v>0</v>
      </c>
      <c r="M9" s="42">
        <v>0</v>
      </c>
      <c r="N9" s="42">
        <v>0</v>
      </c>
      <c r="O9" s="42">
        <f t="shared" si="1"/>
        <v>0</v>
      </c>
      <c r="P9" s="203">
        <f t="shared" si="2"/>
        <v>0</v>
      </c>
    </row>
    <row r="10" spans="1:16" hidden="1" outlineLevel="1" x14ac:dyDescent="0.25">
      <c r="A10" s="39" t="s">
        <v>11</v>
      </c>
      <c r="B10" s="46" t="s">
        <v>498</v>
      </c>
      <c r="C10" s="202" t="s">
        <v>12</v>
      </c>
      <c r="D10" s="39" t="s">
        <v>13</v>
      </c>
      <c r="E10" s="39" t="s">
        <v>17</v>
      </c>
      <c r="F10" s="39" t="s">
        <v>18</v>
      </c>
      <c r="G10" s="39" t="s">
        <v>19</v>
      </c>
      <c r="H10" s="42">
        <v>0</v>
      </c>
      <c r="I10" s="42">
        <v>0</v>
      </c>
      <c r="J10" s="42">
        <v>12432</v>
      </c>
      <c r="K10" s="42">
        <v>12432</v>
      </c>
      <c r="L10" s="42">
        <v>7781.75</v>
      </c>
      <c r="M10" s="42">
        <v>5972.75</v>
      </c>
      <c r="N10" s="42">
        <v>10150</v>
      </c>
      <c r="O10" s="42">
        <f t="shared" si="1"/>
        <v>10150</v>
      </c>
      <c r="P10" s="203">
        <f t="shared" si="2"/>
        <v>10150</v>
      </c>
    </row>
    <row r="11" spans="1:16" hidden="1" outlineLevel="1" x14ac:dyDescent="0.25">
      <c r="A11" s="39" t="s">
        <v>11</v>
      </c>
      <c r="B11" s="46" t="s">
        <v>502</v>
      </c>
      <c r="C11" s="202" t="s">
        <v>12</v>
      </c>
      <c r="D11" s="39" t="s">
        <v>13</v>
      </c>
      <c r="E11" s="39" t="s">
        <v>17</v>
      </c>
      <c r="F11" s="39" t="s">
        <v>18</v>
      </c>
      <c r="G11" s="39" t="s">
        <v>19</v>
      </c>
      <c r="H11" s="42">
        <v>0</v>
      </c>
      <c r="I11" s="42">
        <v>0</v>
      </c>
      <c r="J11" s="42">
        <v>10131</v>
      </c>
      <c r="K11" s="42">
        <v>10131</v>
      </c>
      <c r="L11" s="42">
        <v>10694.4</v>
      </c>
      <c r="M11" s="42">
        <v>8543.4</v>
      </c>
      <c r="N11" s="42">
        <v>11966</v>
      </c>
      <c r="O11" s="42">
        <f t="shared" si="1"/>
        <v>11966</v>
      </c>
      <c r="P11" s="203">
        <f t="shared" si="2"/>
        <v>11966</v>
      </c>
    </row>
    <row r="12" spans="1:16" hidden="1" outlineLevel="1" x14ac:dyDescent="0.25">
      <c r="A12" s="39" t="s">
        <v>11</v>
      </c>
      <c r="B12" s="46" t="s">
        <v>504</v>
      </c>
      <c r="C12" s="202" t="s">
        <v>12</v>
      </c>
      <c r="D12" s="39" t="s">
        <v>13</v>
      </c>
      <c r="E12" s="39" t="s">
        <v>17</v>
      </c>
      <c r="F12" s="39" t="s">
        <v>18</v>
      </c>
      <c r="G12" s="39" t="s">
        <v>19</v>
      </c>
      <c r="H12" s="42">
        <v>0</v>
      </c>
      <c r="I12" s="42">
        <v>0</v>
      </c>
      <c r="J12" s="42">
        <v>11894</v>
      </c>
      <c r="K12" s="42">
        <v>11894</v>
      </c>
      <c r="L12" s="42">
        <v>14361.41</v>
      </c>
      <c r="M12" s="42">
        <v>10361.41</v>
      </c>
      <c r="N12" s="42">
        <v>21862</v>
      </c>
      <c r="O12" s="42">
        <f t="shared" si="1"/>
        <v>21862</v>
      </c>
      <c r="P12" s="203">
        <f t="shared" si="2"/>
        <v>21862</v>
      </c>
    </row>
    <row r="13" spans="1:16" hidden="1" outlineLevel="1" x14ac:dyDescent="0.25">
      <c r="A13" s="43"/>
      <c r="B13" s="46" t="s">
        <v>486</v>
      </c>
      <c r="C13" s="202" t="s">
        <v>12</v>
      </c>
      <c r="D13" s="7" t="s">
        <v>549</v>
      </c>
      <c r="E13" s="7" t="s">
        <v>17</v>
      </c>
      <c r="F13" s="7" t="s">
        <v>18</v>
      </c>
      <c r="G13" s="7" t="s">
        <v>550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825</v>
      </c>
      <c r="N13" s="8">
        <v>825</v>
      </c>
      <c r="O13" s="42">
        <f t="shared" si="1"/>
        <v>825</v>
      </c>
      <c r="P13" s="203">
        <f t="shared" si="2"/>
        <v>825</v>
      </c>
    </row>
    <row r="14" spans="1:16" hidden="1" outlineLevel="1" x14ac:dyDescent="0.25">
      <c r="A14" s="39"/>
      <c r="B14" s="46" t="s">
        <v>487</v>
      </c>
      <c r="C14" s="202" t="s">
        <v>12</v>
      </c>
      <c r="D14" s="39" t="s">
        <v>549</v>
      </c>
      <c r="E14" s="39" t="s">
        <v>17</v>
      </c>
      <c r="F14" s="39" t="s">
        <v>18</v>
      </c>
      <c r="G14" s="39" t="s">
        <v>550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275</v>
      </c>
      <c r="O14" s="42">
        <f t="shared" si="1"/>
        <v>275</v>
      </c>
      <c r="P14" s="203">
        <f t="shared" si="2"/>
        <v>275</v>
      </c>
    </row>
    <row r="15" spans="1:16" hidden="1" outlineLevel="1" x14ac:dyDescent="0.25">
      <c r="A15" s="39"/>
      <c r="B15" s="46" t="s">
        <v>489</v>
      </c>
      <c r="C15" s="202" t="s">
        <v>12</v>
      </c>
      <c r="D15" s="39" t="s">
        <v>549</v>
      </c>
      <c r="E15" s="39" t="s">
        <v>17</v>
      </c>
      <c r="F15" s="39" t="s">
        <v>18</v>
      </c>
      <c r="G15" s="39" t="s">
        <v>550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1100</v>
      </c>
      <c r="O15" s="42">
        <f t="shared" si="1"/>
        <v>1100</v>
      </c>
      <c r="P15" s="203">
        <f t="shared" si="2"/>
        <v>1100</v>
      </c>
    </row>
    <row r="16" spans="1:16" hidden="1" outlineLevel="1" x14ac:dyDescent="0.25">
      <c r="A16" s="39"/>
      <c r="B16" s="46" t="s">
        <v>502</v>
      </c>
      <c r="C16" s="202" t="s">
        <v>12</v>
      </c>
      <c r="D16" s="39" t="s">
        <v>549</v>
      </c>
      <c r="E16" s="39" t="s">
        <v>17</v>
      </c>
      <c r="F16" s="39" t="s">
        <v>18</v>
      </c>
      <c r="G16" s="39" t="s">
        <v>550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275</v>
      </c>
      <c r="O16" s="42">
        <f t="shared" si="1"/>
        <v>275</v>
      </c>
      <c r="P16" s="203">
        <f t="shared" si="2"/>
        <v>275</v>
      </c>
    </row>
    <row r="17" spans="1:16" ht="15.75" hidden="1" outlineLevel="1" thickBot="1" x14ac:dyDescent="0.3">
      <c r="A17" s="39"/>
      <c r="B17" s="46" t="s">
        <v>504</v>
      </c>
      <c r="C17" s="204" t="s">
        <v>12</v>
      </c>
      <c r="D17" s="39" t="s">
        <v>549</v>
      </c>
      <c r="E17" s="39" t="s">
        <v>17</v>
      </c>
      <c r="F17" s="39" t="s">
        <v>18</v>
      </c>
      <c r="G17" s="39" t="s">
        <v>550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275</v>
      </c>
      <c r="O17" s="42">
        <f t="shared" si="1"/>
        <v>275</v>
      </c>
      <c r="P17" s="203">
        <f t="shared" si="2"/>
        <v>275</v>
      </c>
    </row>
    <row r="18" spans="1:16" collapsed="1" x14ac:dyDescent="0.25">
      <c r="A18" s="15"/>
      <c r="B18" s="16"/>
      <c r="C18" s="156"/>
      <c r="D18" s="23" t="s">
        <v>468</v>
      </c>
      <c r="E18" s="20"/>
      <c r="F18" s="20"/>
      <c r="G18" s="39" t="s">
        <v>610</v>
      </c>
      <c r="H18" s="24">
        <f>SUM(H3:H17)</f>
        <v>217492.94</v>
      </c>
      <c r="I18" s="24">
        <f t="shared" ref="I18:P18" si="3">SUM(I3:I17)</f>
        <v>227509.54</v>
      </c>
      <c r="J18" s="24">
        <f t="shared" si="3"/>
        <v>257900</v>
      </c>
      <c r="K18" s="24">
        <f t="shared" si="3"/>
        <v>256900</v>
      </c>
      <c r="L18" s="24">
        <f t="shared" si="3"/>
        <v>214549.31699999998</v>
      </c>
      <c r="M18" s="24">
        <f t="shared" si="3"/>
        <v>171030.87</v>
      </c>
      <c r="N18" s="24">
        <f t="shared" si="3"/>
        <v>299589</v>
      </c>
      <c r="O18" s="24">
        <f t="shared" si="3"/>
        <v>299589</v>
      </c>
      <c r="P18" s="215">
        <f t="shared" si="3"/>
        <v>299589</v>
      </c>
    </row>
    <row r="19" spans="1:16" ht="15" hidden="1" customHeight="1" outlineLevel="1" x14ac:dyDescent="0.25">
      <c r="A19" s="39" t="s">
        <v>11</v>
      </c>
      <c r="B19" s="46" t="s">
        <v>483</v>
      </c>
      <c r="C19" s="157"/>
      <c r="D19" s="23" t="s">
        <v>22</v>
      </c>
      <c r="E19" s="20" t="s">
        <v>17</v>
      </c>
      <c r="F19" s="20" t="s">
        <v>18</v>
      </c>
      <c r="G19" s="20" t="s">
        <v>23</v>
      </c>
      <c r="H19" s="24">
        <v>17444.18</v>
      </c>
      <c r="I19" s="24">
        <v>17681.38</v>
      </c>
      <c r="J19" s="24">
        <v>6683</v>
      </c>
      <c r="K19" s="24">
        <v>6773</v>
      </c>
      <c r="L19" s="24">
        <f>M19/10*12.5</f>
        <v>1355.9375</v>
      </c>
      <c r="M19" s="24">
        <v>1084.75</v>
      </c>
      <c r="N19" s="24">
        <v>3700</v>
      </c>
      <c r="O19" s="24">
        <f t="shared" ref="O19:O82" si="4">N19</f>
        <v>3700</v>
      </c>
      <c r="P19" s="215">
        <f t="shared" ref="P19:P82" si="5">N19</f>
        <v>3700</v>
      </c>
    </row>
    <row r="20" spans="1:16" ht="15" hidden="1" customHeight="1" outlineLevel="1" x14ac:dyDescent="0.25">
      <c r="A20" s="39" t="s">
        <v>11</v>
      </c>
      <c r="B20" s="46" t="s">
        <v>486</v>
      </c>
      <c r="C20" s="157"/>
      <c r="D20" s="23" t="s">
        <v>22</v>
      </c>
      <c r="E20" s="20" t="s">
        <v>17</v>
      </c>
      <c r="F20" s="20" t="s">
        <v>18</v>
      </c>
      <c r="G20" s="20" t="s">
        <v>23</v>
      </c>
      <c r="H20" s="24">
        <v>0</v>
      </c>
      <c r="I20" s="24">
        <v>0</v>
      </c>
      <c r="J20" s="24">
        <v>3500</v>
      </c>
      <c r="K20" s="24">
        <v>3500</v>
      </c>
      <c r="L20" s="24">
        <f>M20/10*13</f>
        <v>2021.3700000000001</v>
      </c>
      <c r="M20" s="24">
        <v>1554.9</v>
      </c>
      <c r="N20" s="24">
        <v>4005</v>
      </c>
      <c r="O20" s="24">
        <f t="shared" si="4"/>
        <v>4005</v>
      </c>
      <c r="P20" s="215">
        <f t="shared" si="5"/>
        <v>4005</v>
      </c>
    </row>
    <row r="21" spans="1:16" ht="15" hidden="1" customHeight="1" outlineLevel="1" x14ac:dyDescent="0.25">
      <c r="A21" s="39" t="s">
        <v>11</v>
      </c>
      <c r="B21" s="46" t="s">
        <v>486</v>
      </c>
      <c r="C21" s="157"/>
      <c r="D21" s="23" t="s">
        <v>22</v>
      </c>
      <c r="E21" s="20" t="s">
        <v>14</v>
      </c>
      <c r="F21" s="20" t="s">
        <v>18</v>
      </c>
      <c r="G21" s="20" t="s">
        <v>23</v>
      </c>
      <c r="H21" s="24">
        <v>0</v>
      </c>
      <c r="I21" s="24">
        <v>0</v>
      </c>
      <c r="J21" s="24"/>
      <c r="K21" s="24"/>
      <c r="L21" s="24"/>
      <c r="M21" s="24"/>
      <c r="N21" s="24">
        <v>522</v>
      </c>
      <c r="O21" s="24">
        <f t="shared" si="4"/>
        <v>522</v>
      </c>
      <c r="P21" s="215">
        <f t="shared" si="5"/>
        <v>522</v>
      </c>
    </row>
    <row r="22" spans="1:16" ht="15" hidden="1" customHeight="1" outlineLevel="1" x14ac:dyDescent="0.25">
      <c r="A22" s="39" t="s">
        <v>11</v>
      </c>
      <c r="B22" s="46" t="s">
        <v>488</v>
      </c>
      <c r="C22" s="157"/>
      <c r="D22" s="23" t="s">
        <v>22</v>
      </c>
      <c r="E22" s="20" t="s">
        <v>17</v>
      </c>
      <c r="F22" s="20" t="s">
        <v>18</v>
      </c>
      <c r="G22" s="20" t="s">
        <v>23</v>
      </c>
      <c r="H22" s="24">
        <v>0</v>
      </c>
      <c r="I22" s="24">
        <v>0</v>
      </c>
      <c r="J22" s="24">
        <v>2921</v>
      </c>
      <c r="K22" s="24">
        <v>2921</v>
      </c>
      <c r="L22" s="24">
        <v>1179.6099999999999</v>
      </c>
      <c r="M22" s="24">
        <v>1179.6099999999999</v>
      </c>
      <c r="N22" s="24">
        <v>1550</v>
      </c>
      <c r="O22" s="24">
        <f t="shared" si="4"/>
        <v>1550</v>
      </c>
      <c r="P22" s="215">
        <f t="shared" si="5"/>
        <v>1550</v>
      </c>
    </row>
    <row r="23" spans="1:16" ht="15" hidden="1" customHeight="1" outlineLevel="1" x14ac:dyDescent="0.25">
      <c r="A23" s="39" t="s">
        <v>11</v>
      </c>
      <c r="B23" s="46" t="s">
        <v>489</v>
      </c>
      <c r="C23" s="157"/>
      <c r="D23" s="23" t="s">
        <v>22</v>
      </c>
      <c r="E23" s="20" t="s">
        <v>17</v>
      </c>
      <c r="F23" s="20" t="s">
        <v>18</v>
      </c>
      <c r="G23" s="20" t="s">
        <v>23</v>
      </c>
      <c r="H23" s="24">
        <v>0</v>
      </c>
      <c r="I23" s="24">
        <v>0</v>
      </c>
      <c r="J23" s="24">
        <v>2000</v>
      </c>
      <c r="K23" s="24">
        <v>1500</v>
      </c>
      <c r="L23" s="24">
        <v>2303.37</v>
      </c>
      <c r="M23" s="24">
        <v>1475.77</v>
      </c>
      <c r="N23" s="24">
        <v>2600</v>
      </c>
      <c r="O23" s="24">
        <f t="shared" si="4"/>
        <v>2600</v>
      </c>
      <c r="P23" s="215">
        <f t="shared" si="5"/>
        <v>2600</v>
      </c>
    </row>
    <row r="24" spans="1:16" ht="15" hidden="1" customHeight="1" outlineLevel="1" x14ac:dyDescent="0.25">
      <c r="A24" s="39" t="s">
        <v>11</v>
      </c>
      <c r="B24" s="46" t="s">
        <v>498</v>
      </c>
      <c r="C24" s="157"/>
      <c r="D24" s="23" t="s">
        <v>22</v>
      </c>
      <c r="E24" s="20" t="s">
        <v>17</v>
      </c>
      <c r="F24" s="20" t="s">
        <v>18</v>
      </c>
      <c r="G24" s="20" t="s">
        <v>23</v>
      </c>
      <c r="H24" s="24">
        <v>0</v>
      </c>
      <c r="I24" s="24">
        <v>0</v>
      </c>
      <c r="J24" s="24">
        <v>1243</v>
      </c>
      <c r="K24" s="24">
        <v>1243</v>
      </c>
      <c r="L24" s="24">
        <v>782.17</v>
      </c>
      <c r="M24" s="24">
        <v>601.27</v>
      </c>
      <c r="N24" s="24">
        <v>1015</v>
      </c>
      <c r="O24" s="24">
        <f t="shared" si="4"/>
        <v>1015</v>
      </c>
      <c r="P24" s="215">
        <f t="shared" si="5"/>
        <v>1015</v>
      </c>
    </row>
    <row r="25" spans="1:16" ht="15" hidden="1" customHeight="1" outlineLevel="1" x14ac:dyDescent="0.25">
      <c r="A25" s="39" t="s">
        <v>11</v>
      </c>
      <c r="B25" s="46" t="s">
        <v>502</v>
      </c>
      <c r="C25" s="157"/>
      <c r="D25" s="23" t="s">
        <v>22</v>
      </c>
      <c r="E25" s="20" t="s">
        <v>17</v>
      </c>
      <c r="F25" s="20" t="s">
        <v>18</v>
      </c>
      <c r="G25" s="20" t="s">
        <v>23</v>
      </c>
      <c r="H25" s="24">
        <v>0</v>
      </c>
      <c r="I25" s="24">
        <v>0</v>
      </c>
      <c r="J25" s="24">
        <v>1013</v>
      </c>
      <c r="K25" s="24">
        <v>1013</v>
      </c>
      <c r="L25" s="24">
        <v>1079.44</v>
      </c>
      <c r="M25" s="24">
        <v>864.34</v>
      </c>
      <c r="N25" s="24">
        <v>1197</v>
      </c>
      <c r="O25" s="24">
        <f t="shared" si="4"/>
        <v>1197</v>
      </c>
      <c r="P25" s="215">
        <f t="shared" si="5"/>
        <v>1197</v>
      </c>
    </row>
    <row r="26" spans="1:16" ht="15" hidden="1" customHeight="1" outlineLevel="1" x14ac:dyDescent="0.25">
      <c r="A26" s="39" t="s">
        <v>11</v>
      </c>
      <c r="B26" s="46" t="s">
        <v>504</v>
      </c>
      <c r="C26" s="157"/>
      <c r="D26" s="23" t="s">
        <v>22</v>
      </c>
      <c r="E26" s="20" t="s">
        <v>17</v>
      </c>
      <c r="F26" s="20" t="s">
        <v>18</v>
      </c>
      <c r="G26" s="20" t="s">
        <v>23</v>
      </c>
      <c r="H26" s="24">
        <v>0</v>
      </c>
      <c r="I26" s="24">
        <v>0</v>
      </c>
      <c r="J26" s="24">
        <v>1189</v>
      </c>
      <c r="K26" s="24">
        <v>1189</v>
      </c>
      <c r="L26" s="24">
        <v>1068.6599999999999</v>
      </c>
      <c r="M26" s="24">
        <v>668.66</v>
      </c>
      <c r="N26" s="24">
        <v>2186</v>
      </c>
      <c r="O26" s="24">
        <f t="shared" si="4"/>
        <v>2186</v>
      </c>
      <c r="P26" s="215">
        <f t="shared" si="5"/>
        <v>2186</v>
      </c>
    </row>
    <row r="27" spans="1:16" ht="15" hidden="1" customHeight="1" outlineLevel="1" x14ac:dyDescent="0.25">
      <c r="A27" s="39" t="s">
        <v>11</v>
      </c>
      <c r="B27" s="46" t="s">
        <v>483</v>
      </c>
      <c r="C27" s="157"/>
      <c r="D27" s="23" t="s">
        <v>26</v>
      </c>
      <c r="E27" s="20" t="s">
        <v>14</v>
      </c>
      <c r="F27" s="20" t="s">
        <v>18</v>
      </c>
      <c r="G27" s="20" t="s">
        <v>27</v>
      </c>
      <c r="H27" s="24">
        <v>19.5</v>
      </c>
      <c r="I27" s="24">
        <v>17.7</v>
      </c>
      <c r="J27" s="24">
        <v>0</v>
      </c>
      <c r="K27" s="24">
        <v>0</v>
      </c>
      <c r="L27" s="24">
        <f>M27/10*12.5</f>
        <v>0</v>
      </c>
      <c r="M27" s="24">
        <v>0</v>
      </c>
      <c r="N27" s="24">
        <v>0</v>
      </c>
      <c r="O27" s="24">
        <f t="shared" si="4"/>
        <v>0</v>
      </c>
      <c r="P27" s="215">
        <f t="shared" si="5"/>
        <v>0</v>
      </c>
    </row>
    <row r="28" spans="1:16" ht="15" hidden="1" customHeight="1" outlineLevel="1" x14ac:dyDescent="0.25">
      <c r="A28" s="39" t="s">
        <v>11</v>
      </c>
      <c r="B28" s="46" t="s">
        <v>483</v>
      </c>
      <c r="C28" s="157"/>
      <c r="D28" s="23" t="s">
        <v>26</v>
      </c>
      <c r="E28" s="20" t="s">
        <v>17</v>
      </c>
      <c r="F28" s="20" t="s">
        <v>18</v>
      </c>
      <c r="G28" s="20" t="s">
        <v>27</v>
      </c>
      <c r="H28" s="24">
        <v>4913.1099999999997</v>
      </c>
      <c r="I28" s="24">
        <v>5472.53</v>
      </c>
      <c r="J28" s="24">
        <v>0</v>
      </c>
      <c r="K28" s="24">
        <v>1600</v>
      </c>
      <c r="L28" s="24">
        <f>M28/10*12.5</f>
        <v>3297.0749999999994</v>
      </c>
      <c r="M28" s="24">
        <v>2637.66</v>
      </c>
      <c r="N28" s="24">
        <v>3700</v>
      </c>
      <c r="O28" s="24">
        <f t="shared" si="4"/>
        <v>3700</v>
      </c>
      <c r="P28" s="215">
        <f t="shared" si="5"/>
        <v>3700</v>
      </c>
    </row>
    <row r="29" spans="1:16" ht="15" hidden="1" customHeight="1" outlineLevel="1" x14ac:dyDescent="0.25">
      <c r="A29" s="39" t="s">
        <v>11</v>
      </c>
      <c r="B29" s="46" t="s">
        <v>486</v>
      </c>
      <c r="C29" s="157"/>
      <c r="D29" s="23" t="s">
        <v>26</v>
      </c>
      <c r="E29" s="20" t="s">
        <v>17</v>
      </c>
      <c r="F29" s="20" t="s">
        <v>18</v>
      </c>
      <c r="G29" s="20" t="s">
        <v>27</v>
      </c>
      <c r="H29" s="24">
        <v>0</v>
      </c>
      <c r="I29" s="24">
        <v>0</v>
      </c>
      <c r="J29" s="24">
        <v>2267</v>
      </c>
      <c r="K29" s="24">
        <v>3677</v>
      </c>
      <c r="L29" s="24">
        <f>M29/10*13</f>
        <v>2189.4989999999998</v>
      </c>
      <c r="M29" s="24">
        <v>1684.23</v>
      </c>
      <c r="N29" s="24">
        <v>4005</v>
      </c>
      <c r="O29" s="24">
        <f t="shared" si="4"/>
        <v>4005</v>
      </c>
      <c r="P29" s="215">
        <f t="shared" si="5"/>
        <v>4005</v>
      </c>
    </row>
    <row r="30" spans="1:16" ht="15" hidden="1" customHeight="1" outlineLevel="1" x14ac:dyDescent="0.25">
      <c r="A30" s="39" t="s">
        <v>11</v>
      </c>
      <c r="B30" s="46" t="s">
        <v>486</v>
      </c>
      <c r="C30" s="157"/>
      <c r="D30" s="23" t="s">
        <v>26</v>
      </c>
      <c r="E30" s="20" t="s">
        <v>14</v>
      </c>
      <c r="F30" s="20" t="s">
        <v>18</v>
      </c>
      <c r="G30" s="20" t="s">
        <v>27</v>
      </c>
      <c r="H30" s="24">
        <v>0</v>
      </c>
      <c r="I30" s="24">
        <v>0</v>
      </c>
      <c r="J30" s="24"/>
      <c r="K30" s="24"/>
      <c r="L30" s="24"/>
      <c r="M30" s="24"/>
      <c r="N30" s="24">
        <v>522</v>
      </c>
      <c r="O30" s="24">
        <f t="shared" si="4"/>
        <v>522</v>
      </c>
      <c r="P30" s="215">
        <f t="shared" si="5"/>
        <v>522</v>
      </c>
    </row>
    <row r="31" spans="1:16" ht="15" hidden="1" customHeight="1" outlineLevel="1" x14ac:dyDescent="0.25">
      <c r="A31" s="39" t="s">
        <v>11</v>
      </c>
      <c r="B31" s="46" t="s">
        <v>487</v>
      </c>
      <c r="C31" s="157"/>
      <c r="D31" s="23" t="s">
        <v>26</v>
      </c>
      <c r="E31" s="20" t="s">
        <v>17</v>
      </c>
      <c r="F31" s="20" t="s">
        <v>18</v>
      </c>
      <c r="G31" s="20" t="s">
        <v>27</v>
      </c>
      <c r="H31" s="24">
        <v>0</v>
      </c>
      <c r="I31" s="24">
        <v>0</v>
      </c>
      <c r="J31" s="24">
        <v>2952</v>
      </c>
      <c r="K31" s="24">
        <v>2352</v>
      </c>
      <c r="L31" s="24">
        <v>3207.98</v>
      </c>
      <c r="M31" s="24">
        <v>2747.48</v>
      </c>
      <c r="N31" s="24">
        <v>2630</v>
      </c>
      <c r="O31" s="24">
        <f t="shared" si="4"/>
        <v>2630</v>
      </c>
      <c r="P31" s="215">
        <f t="shared" si="5"/>
        <v>2630</v>
      </c>
    </row>
    <row r="32" spans="1:16" ht="15" hidden="1" customHeight="1" outlineLevel="1" x14ac:dyDescent="0.25">
      <c r="A32" s="39" t="s">
        <v>11</v>
      </c>
      <c r="B32" s="46" t="s">
        <v>488</v>
      </c>
      <c r="C32" s="157"/>
      <c r="D32" s="23" t="s">
        <v>26</v>
      </c>
      <c r="E32" s="20" t="s">
        <v>17</v>
      </c>
      <c r="F32" s="20" t="s">
        <v>18</v>
      </c>
      <c r="G32" s="20" t="s">
        <v>27</v>
      </c>
      <c r="H32" s="24">
        <v>0</v>
      </c>
      <c r="I32" s="24">
        <v>0</v>
      </c>
      <c r="J32" s="24">
        <v>1947</v>
      </c>
      <c r="K32" s="24">
        <v>947</v>
      </c>
      <c r="L32" s="24">
        <v>1082.7</v>
      </c>
      <c r="M32" s="24">
        <v>799.9</v>
      </c>
      <c r="N32" s="24"/>
      <c r="O32" s="24">
        <f t="shared" si="4"/>
        <v>0</v>
      </c>
      <c r="P32" s="215">
        <f t="shared" si="5"/>
        <v>0</v>
      </c>
    </row>
    <row r="33" spans="1:16" ht="15" hidden="1" customHeight="1" outlineLevel="1" x14ac:dyDescent="0.25">
      <c r="A33" s="39" t="s">
        <v>11</v>
      </c>
      <c r="B33" s="46" t="s">
        <v>489</v>
      </c>
      <c r="C33" s="157"/>
      <c r="D33" s="23" t="s">
        <v>26</v>
      </c>
      <c r="E33" s="20" t="s">
        <v>17</v>
      </c>
      <c r="F33" s="20" t="s">
        <v>18</v>
      </c>
      <c r="G33" s="20" t="s">
        <v>27</v>
      </c>
      <c r="H33" s="24">
        <v>0</v>
      </c>
      <c r="I33" s="24">
        <v>0</v>
      </c>
      <c r="J33" s="24">
        <v>1275</v>
      </c>
      <c r="K33" s="24">
        <v>1275</v>
      </c>
      <c r="L33" s="24">
        <v>1085.68</v>
      </c>
      <c r="M33" s="24">
        <v>1085.68</v>
      </c>
      <c r="N33" s="24">
        <v>2073</v>
      </c>
      <c r="O33" s="24">
        <f t="shared" si="4"/>
        <v>2073</v>
      </c>
      <c r="P33" s="215">
        <f t="shared" si="5"/>
        <v>2073</v>
      </c>
    </row>
    <row r="34" spans="1:16" ht="15" hidden="1" customHeight="1" outlineLevel="1" x14ac:dyDescent="0.25">
      <c r="A34" s="39" t="s">
        <v>11</v>
      </c>
      <c r="B34" s="46" t="s">
        <v>483</v>
      </c>
      <c r="C34" s="157"/>
      <c r="D34" s="23" t="s">
        <v>52</v>
      </c>
      <c r="E34" s="20" t="s">
        <v>17</v>
      </c>
      <c r="F34" s="20" t="s">
        <v>18</v>
      </c>
      <c r="G34" s="20" t="s">
        <v>53</v>
      </c>
      <c r="H34" s="24">
        <v>1451.46</v>
      </c>
      <c r="I34" s="24">
        <v>1745</v>
      </c>
      <c r="J34" s="24">
        <v>120</v>
      </c>
      <c r="K34" s="24">
        <v>450</v>
      </c>
      <c r="L34" s="24">
        <f>M34/10*12.5</f>
        <v>162.5</v>
      </c>
      <c r="M34" s="24">
        <v>130</v>
      </c>
      <c r="N34" s="24">
        <v>360</v>
      </c>
      <c r="O34" s="24">
        <f t="shared" si="4"/>
        <v>360</v>
      </c>
      <c r="P34" s="215">
        <f t="shared" si="5"/>
        <v>360</v>
      </c>
    </row>
    <row r="35" spans="1:16" ht="15" hidden="1" customHeight="1" outlineLevel="1" x14ac:dyDescent="0.25">
      <c r="A35" s="39" t="s">
        <v>11</v>
      </c>
      <c r="B35" s="46" t="s">
        <v>486</v>
      </c>
      <c r="C35" s="157"/>
      <c r="D35" s="23" t="s">
        <v>52</v>
      </c>
      <c r="E35" s="20" t="s">
        <v>17</v>
      </c>
      <c r="F35" s="20" t="s">
        <v>18</v>
      </c>
      <c r="G35" s="20" t="s">
        <v>53</v>
      </c>
      <c r="H35" s="24">
        <v>0</v>
      </c>
      <c r="I35" s="24">
        <v>0</v>
      </c>
      <c r="J35" s="24">
        <v>600</v>
      </c>
      <c r="K35" s="24">
        <v>600</v>
      </c>
      <c r="L35" s="24">
        <f>M35/10*13</f>
        <v>273</v>
      </c>
      <c r="M35" s="24">
        <v>210</v>
      </c>
      <c r="N35" s="24">
        <v>960</v>
      </c>
      <c r="O35" s="24">
        <f t="shared" si="4"/>
        <v>960</v>
      </c>
      <c r="P35" s="215">
        <f t="shared" si="5"/>
        <v>960</v>
      </c>
    </row>
    <row r="36" spans="1:16" ht="15" hidden="1" customHeight="1" outlineLevel="1" x14ac:dyDescent="0.25">
      <c r="A36" s="39" t="s">
        <v>11</v>
      </c>
      <c r="B36" s="46" t="s">
        <v>487</v>
      </c>
      <c r="C36" s="157"/>
      <c r="D36" s="23" t="s">
        <v>52</v>
      </c>
      <c r="E36" s="20" t="s">
        <v>17</v>
      </c>
      <c r="F36" s="20" t="s">
        <v>18</v>
      </c>
      <c r="G36" s="20" t="s">
        <v>53</v>
      </c>
      <c r="H36" s="24">
        <v>0</v>
      </c>
      <c r="I36" s="24">
        <v>0</v>
      </c>
      <c r="J36" s="24">
        <v>240</v>
      </c>
      <c r="K36" s="24">
        <v>240</v>
      </c>
      <c r="L36" s="24">
        <v>150</v>
      </c>
      <c r="M36" s="24">
        <v>130</v>
      </c>
      <c r="N36" s="24">
        <v>240</v>
      </c>
      <c r="O36" s="24">
        <f t="shared" si="4"/>
        <v>240</v>
      </c>
      <c r="P36" s="215">
        <f t="shared" si="5"/>
        <v>240</v>
      </c>
    </row>
    <row r="37" spans="1:16" ht="15" hidden="1" customHeight="1" outlineLevel="1" x14ac:dyDescent="0.25">
      <c r="A37" s="39" t="s">
        <v>11</v>
      </c>
      <c r="B37" s="46" t="s">
        <v>488</v>
      </c>
      <c r="C37" s="157"/>
      <c r="D37" s="23" t="s">
        <v>52</v>
      </c>
      <c r="E37" s="20" t="s">
        <v>17</v>
      </c>
      <c r="F37" s="20" t="s">
        <v>18</v>
      </c>
      <c r="G37" s="20" t="s">
        <v>53</v>
      </c>
      <c r="H37" s="24">
        <v>0</v>
      </c>
      <c r="I37" s="24">
        <v>0</v>
      </c>
      <c r="J37" s="24">
        <v>240</v>
      </c>
      <c r="K37" s="24">
        <v>240</v>
      </c>
      <c r="L37" s="24">
        <v>60</v>
      </c>
      <c r="M37" s="24">
        <v>60</v>
      </c>
      <c r="N37" s="24">
        <v>120</v>
      </c>
      <c r="O37" s="24">
        <f t="shared" si="4"/>
        <v>120</v>
      </c>
      <c r="P37" s="215">
        <f t="shared" si="5"/>
        <v>120</v>
      </c>
    </row>
    <row r="38" spans="1:16" ht="15" hidden="1" customHeight="1" outlineLevel="1" x14ac:dyDescent="0.25">
      <c r="A38" s="39" t="s">
        <v>11</v>
      </c>
      <c r="B38" s="46" t="s">
        <v>489</v>
      </c>
      <c r="C38" s="157"/>
      <c r="D38" s="23" t="s">
        <v>52</v>
      </c>
      <c r="E38" s="20" t="s">
        <v>17</v>
      </c>
      <c r="F38" s="20" t="s">
        <v>18</v>
      </c>
      <c r="G38" s="20" t="s">
        <v>53</v>
      </c>
      <c r="H38" s="24">
        <v>0</v>
      </c>
      <c r="I38" s="24">
        <v>0</v>
      </c>
      <c r="J38" s="24">
        <v>360</v>
      </c>
      <c r="K38" s="24">
        <v>360</v>
      </c>
      <c r="L38" s="24">
        <v>380</v>
      </c>
      <c r="M38" s="24">
        <v>300</v>
      </c>
      <c r="N38" s="24">
        <v>480</v>
      </c>
      <c r="O38" s="24">
        <f t="shared" si="4"/>
        <v>480</v>
      </c>
      <c r="P38" s="215">
        <f t="shared" si="5"/>
        <v>480</v>
      </c>
    </row>
    <row r="39" spans="1:16" ht="15" hidden="1" customHeight="1" outlineLevel="1" x14ac:dyDescent="0.25">
      <c r="A39" s="39" t="s">
        <v>11</v>
      </c>
      <c r="B39" s="46" t="s">
        <v>490</v>
      </c>
      <c r="C39" s="157"/>
      <c r="D39" s="23" t="s">
        <v>52</v>
      </c>
      <c r="E39" s="20" t="s">
        <v>17</v>
      </c>
      <c r="F39" s="20" t="s">
        <v>18</v>
      </c>
      <c r="G39" s="20" t="s">
        <v>53</v>
      </c>
      <c r="H39" s="24">
        <v>0</v>
      </c>
      <c r="I39" s="24">
        <v>0</v>
      </c>
      <c r="J39" s="24">
        <v>77</v>
      </c>
      <c r="K39" s="24">
        <v>77</v>
      </c>
      <c r="L39" s="24">
        <v>0</v>
      </c>
      <c r="M39" s="24">
        <v>0</v>
      </c>
      <c r="N39" s="24">
        <v>0</v>
      </c>
      <c r="O39" s="24">
        <f t="shared" si="4"/>
        <v>0</v>
      </c>
      <c r="P39" s="215">
        <f t="shared" si="5"/>
        <v>0</v>
      </c>
    </row>
    <row r="40" spans="1:16" ht="15" hidden="1" customHeight="1" outlineLevel="1" x14ac:dyDescent="0.25">
      <c r="A40" s="39" t="s">
        <v>11</v>
      </c>
      <c r="B40" s="46" t="s">
        <v>498</v>
      </c>
      <c r="C40" s="157"/>
      <c r="D40" s="23" t="s">
        <v>52</v>
      </c>
      <c r="E40" s="20" t="s">
        <v>17</v>
      </c>
      <c r="F40" s="20" t="s">
        <v>18</v>
      </c>
      <c r="G40" s="20" t="s">
        <v>53</v>
      </c>
      <c r="H40" s="24">
        <v>0</v>
      </c>
      <c r="I40" s="24">
        <v>0</v>
      </c>
      <c r="J40" s="24">
        <v>1512</v>
      </c>
      <c r="K40" s="24">
        <v>1182</v>
      </c>
      <c r="L40" s="24">
        <v>40</v>
      </c>
      <c r="M40" s="24">
        <v>40</v>
      </c>
      <c r="N40" s="24">
        <v>0</v>
      </c>
      <c r="O40" s="24">
        <f t="shared" si="4"/>
        <v>0</v>
      </c>
      <c r="P40" s="215">
        <f t="shared" si="5"/>
        <v>0</v>
      </c>
    </row>
    <row r="41" spans="1:16" ht="15" hidden="1" customHeight="1" outlineLevel="1" x14ac:dyDescent="0.25">
      <c r="A41" s="39" t="s">
        <v>11</v>
      </c>
      <c r="B41" s="46" t="s">
        <v>502</v>
      </c>
      <c r="C41" s="157"/>
      <c r="D41" s="23" t="s">
        <v>52</v>
      </c>
      <c r="E41" s="20" t="s">
        <v>17</v>
      </c>
      <c r="F41" s="20" t="s">
        <v>18</v>
      </c>
      <c r="G41" s="20" t="s">
        <v>53</v>
      </c>
      <c r="H41" s="24">
        <v>0</v>
      </c>
      <c r="I41" s="24">
        <v>0</v>
      </c>
      <c r="J41" s="24">
        <v>120</v>
      </c>
      <c r="K41" s="24">
        <v>120</v>
      </c>
      <c r="L41" s="24">
        <v>120</v>
      </c>
      <c r="M41" s="24">
        <v>100</v>
      </c>
      <c r="N41" s="24">
        <v>120</v>
      </c>
      <c r="O41" s="24">
        <f t="shared" si="4"/>
        <v>120</v>
      </c>
      <c r="P41" s="215">
        <f t="shared" si="5"/>
        <v>120</v>
      </c>
    </row>
    <row r="42" spans="1:16" ht="15" hidden="1" customHeight="1" outlineLevel="1" x14ac:dyDescent="0.25">
      <c r="A42" s="39" t="s">
        <v>11</v>
      </c>
      <c r="B42" s="46" t="s">
        <v>504</v>
      </c>
      <c r="C42" s="157"/>
      <c r="D42" s="23" t="s">
        <v>52</v>
      </c>
      <c r="E42" s="20" t="s">
        <v>17</v>
      </c>
      <c r="F42" s="20" t="s">
        <v>18</v>
      </c>
      <c r="G42" s="20" t="s">
        <v>53</v>
      </c>
      <c r="H42" s="24">
        <v>0</v>
      </c>
      <c r="I42" s="24">
        <v>0</v>
      </c>
      <c r="J42" s="24">
        <v>120</v>
      </c>
      <c r="K42" s="24">
        <v>120</v>
      </c>
      <c r="L42" s="24">
        <v>120</v>
      </c>
      <c r="M42" s="24">
        <v>100</v>
      </c>
      <c r="N42" s="24">
        <v>240</v>
      </c>
      <c r="O42" s="24">
        <f t="shared" si="4"/>
        <v>240</v>
      </c>
      <c r="P42" s="215">
        <f t="shared" si="5"/>
        <v>240</v>
      </c>
    </row>
    <row r="43" spans="1:16" ht="15" hidden="1" customHeight="1" outlineLevel="1" x14ac:dyDescent="0.25">
      <c r="A43" s="39" t="s">
        <v>11</v>
      </c>
      <c r="B43" s="46" t="s">
        <v>483</v>
      </c>
      <c r="C43" s="157"/>
      <c r="D43" s="23" t="s">
        <v>29</v>
      </c>
      <c r="E43" s="20" t="s">
        <v>17</v>
      </c>
      <c r="F43" s="20" t="s">
        <v>18</v>
      </c>
      <c r="G43" s="20" t="s">
        <v>30</v>
      </c>
      <c r="H43" s="24">
        <v>3101.87</v>
      </c>
      <c r="I43" s="24">
        <v>3115.89</v>
      </c>
      <c r="J43" s="24">
        <v>0</v>
      </c>
      <c r="K43" s="24">
        <v>0</v>
      </c>
      <c r="L43" s="24">
        <f>M43/10*12.5</f>
        <v>0</v>
      </c>
      <c r="M43" s="24">
        <v>0</v>
      </c>
      <c r="N43" s="24">
        <v>0</v>
      </c>
      <c r="O43" s="24">
        <f t="shared" si="4"/>
        <v>0</v>
      </c>
      <c r="P43" s="215">
        <f t="shared" si="5"/>
        <v>0</v>
      </c>
    </row>
    <row r="44" spans="1:16" ht="15" hidden="1" customHeight="1" outlineLevel="1" x14ac:dyDescent="0.25">
      <c r="A44" s="39" t="s">
        <v>11</v>
      </c>
      <c r="B44" s="46" t="s">
        <v>483</v>
      </c>
      <c r="C44" s="157"/>
      <c r="D44" s="23" t="s">
        <v>29</v>
      </c>
      <c r="E44" s="20" t="s">
        <v>17</v>
      </c>
      <c r="F44" s="20" t="s">
        <v>18</v>
      </c>
      <c r="G44" s="20" t="s">
        <v>30</v>
      </c>
      <c r="H44" s="24">
        <v>0</v>
      </c>
      <c r="I44" s="24">
        <v>0</v>
      </c>
      <c r="J44" s="24">
        <v>936</v>
      </c>
      <c r="K44" s="24">
        <v>936</v>
      </c>
      <c r="L44" s="24">
        <f>M44/10*12.5</f>
        <v>608.91250000000002</v>
      </c>
      <c r="M44" s="24">
        <v>487.13</v>
      </c>
      <c r="N44" s="24">
        <v>1035</v>
      </c>
      <c r="O44" s="24">
        <f t="shared" si="4"/>
        <v>1035</v>
      </c>
      <c r="P44" s="215">
        <f t="shared" si="5"/>
        <v>1035</v>
      </c>
    </row>
    <row r="45" spans="1:16" ht="15" hidden="1" customHeight="1" outlineLevel="1" x14ac:dyDescent="0.25">
      <c r="A45" s="39" t="s">
        <v>11</v>
      </c>
      <c r="B45" s="46" t="s">
        <v>486</v>
      </c>
      <c r="C45" s="157"/>
      <c r="D45" s="23" t="s">
        <v>29</v>
      </c>
      <c r="E45" s="20" t="s">
        <v>17</v>
      </c>
      <c r="F45" s="20" t="s">
        <v>18</v>
      </c>
      <c r="G45" s="20" t="s">
        <v>30</v>
      </c>
      <c r="H45" s="24">
        <v>0</v>
      </c>
      <c r="I45" s="24">
        <v>0</v>
      </c>
      <c r="J45" s="24">
        <v>807</v>
      </c>
      <c r="K45" s="24">
        <v>807</v>
      </c>
      <c r="L45" s="24">
        <f>M45/10*13</f>
        <v>511.00400000000002</v>
      </c>
      <c r="M45" s="24">
        <v>393.08</v>
      </c>
      <c r="N45" s="24">
        <v>1130</v>
      </c>
      <c r="O45" s="24">
        <f t="shared" si="4"/>
        <v>1130</v>
      </c>
      <c r="P45" s="215">
        <f t="shared" si="5"/>
        <v>1130</v>
      </c>
    </row>
    <row r="46" spans="1:16" ht="15" hidden="1" customHeight="1" outlineLevel="1" x14ac:dyDescent="0.25">
      <c r="A46" s="39" t="s">
        <v>11</v>
      </c>
      <c r="B46" s="46" t="s">
        <v>486</v>
      </c>
      <c r="C46" s="157"/>
      <c r="D46" s="23" t="s">
        <v>29</v>
      </c>
      <c r="E46" s="20" t="s">
        <v>14</v>
      </c>
      <c r="F46" s="20" t="s">
        <v>18</v>
      </c>
      <c r="G46" s="20" t="s">
        <v>30</v>
      </c>
      <c r="H46" s="24">
        <v>0</v>
      </c>
      <c r="I46" s="24">
        <v>0</v>
      </c>
      <c r="J46" s="24"/>
      <c r="K46" s="24"/>
      <c r="L46" s="24">
        <f>M46/10*13</f>
        <v>0</v>
      </c>
      <c r="M46" s="24">
        <v>0</v>
      </c>
      <c r="N46" s="24">
        <v>147</v>
      </c>
      <c r="O46" s="24">
        <f t="shared" si="4"/>
        <v>147</v>
      </c>
      <c r="P46" s="215">
        <f t="shared" si="5"/>
        <v>147</v>
      </c>
    </row>
    <row r="47" spans="1:16" ht="15" hidden="1" customHeight="1" outlineLevel="1" x14ac:dyDescent="0.25">
      <c r="A47" s="39" t="s">
        <v>11</v>
      </c>
      <c r="B47" s="46" t="s">
        <v>487</v>
      </c>
      <c r="C47" s="157"/>
      <c r="D47" s="23" t="s">
        <v>29</v>
      </c>
      <c r="E47" s="20" t="s">
        <v>17</v>
      </c>
      <c r="F47" s="20" t="s">
        <v>18</v>
      </c>
      <c r="G47" s="20" t="s">
        <v>30</v>
      </c>
      <c r="H47" s="24">
        <v>0</v>
      </c>
      <c r="I47" s="24">
        <v>0</v>
      </c>
      <c r="J47" s="24">
        <v>413</v>
      </c>
      <c r="K47" s="24">
        <v>413</v>
      </c>
      <c r="L47" s="24">
        <v>447.19000000000005</v>
      </c>
      <c r="M47" s="24">
        <v>382.72</v>
      </c>
      <c r="N47" s="24">
        <v>369</v>
      </c>
      <c r="O47" s="24">
        <f t="shared" si="4"/>
        <v>369</v>
      </c>
      <c r="P47" s="215">
        <f t="shared" si="5"/>
        <v>369</v>
      </c>
    </row>
    <row r="48" spans="1:16" ht="15" hidden="1" customHeight="1" outlineLevel="1" x14ac:dyDescent="0.25">
      <c r="A48" s="39" t="s">
        <v>11</v>
      </c>
      <c r="B48" s="46" t="s">
        <v>488</v>
      </c>
      <c r="C48" s="157"/>
      <c r="D48" s="23" t="s">
        <v>29</v>
      </c>
      <c r="E48" s="20" t="s">
        <v>17</v>
      </c>
      <c r="F48" s="20" t="s">
        <v>18</v>
      </c>
      <c r="G48" s="20" t="s">
        <v>30</v>
      </c>
      <c r="H48" s="24">
        <v>0</v>
      </c>
      <c r="I48" s="24">
        <v>0</v>
      </c>
      <c r="J48" s="24">
        <v>409</v>
      </c>
      <c r="K48" s="24">
        <v>409</v>
      </c>
      <c r="L48" s="24">
        <v>311.10199999999998</v>
      </c>
      <c r="M48" s="24">
        <v>271.51</v>
      </c>
      <c r="N48" s="24">
        <v>217</v>
      </c>
      <c r="O48" s="24">
        <f t="shared" si="4"/>
        <v>217</v>
      </c>
      <c r="P48" s="215">
        <f t="shared" si="5"/>
        <v>217</v>
      </c>
    </row>
    <row r="49" spans="1:16" ht="15" hidden="1" customHeight="1" outlineLevel="1" x14ac:dyDescent="0.25">
      <c r="A49" s="39" t="s">
        <v>11</v>
      </c>
      <c r="B49" s="46" t="s">
        <v>489</v>
      </c>
      <c r="C49" s="157"/>
      <c r="D49" s="23" t="s">
        <v>29</v>
      </c>
      <c r="E49" s="20" t="s">
        <v>17</v>
      </c>
      <c r="F49" s="20" t="s">
        <v>18</v>
      </c>
      <c r="G49" s="20" t="s">
        <v>30</v>
      </c>
      <c r="H49" s="24">
        <v>0</v>
      </c>
      <c r="I49" s="24">
        <v>0</v>
      </c>
      <c r="J49" s="24">
        <v>458</v>
      </c>
      <c r="K49" s="24">
        <v>458</v>
      </c>
      <c r="L49" s="24">
        <v>466.43399999999997</v>
      </c>
      <c r="M49" s="24">
        <v>350.57</v>
      </c>
      <c r="N49" s="24">
        <v>654</v>
      </c>
      <c r="O49" s="24">
        <f t="shared" si="4"/>
        <v>654</v>
      </c>
      <c r="P49" s="215">
        <f t="shared" si="5"/>
        <v>654</v>
      </c>
    </row>
    <row r="50" spans="1:16" ht="15" hidden="1" customHeight="1" outlineLevel="1" x14ac:dyDescent="0.25">
      <c r="A50" s="39" t="s">
        <v>11</v>
      </c>
      <c r="B50" s="46" t="s">
        <v>490</v>
      </c>
      <c r="C50" s="157"/>
      <c r="D50" s="23" t="s">
        <v>29</v>
      </c>
      <c r="E50" s="20" t="s">
        <v>17</v>
      </c>
      <c r="F50" s="20" t="s">
        <v>18</v>
      </c>
      <c r="G50" s="20" t="s">
        <v>30</v>
      </c>
      <c r="H50" s="24">
        <v>0</v>
      </c>
      <c r="I50" s="24">
        <v>0</v>
      </c>
      <c r="J50" s="24">
        <v>260</v>
      </c>
      <c r="K50" s="24">
        <v>260</v>
      </c>
      <c r="L50" s="24">
        <v>0</v>
      </c>
      <c r="M50" s="24">
        <v>0</v>
      </c>
      <c r="N50" s="24">
        <v>0</v>
      </c>
      <c r="O50" s="24">
        <f t="shared" si="4"/>
        <v>0</v>
      </c>
      <c r="P50" s="215">
        <f t="shared" si="5"/>
        <v>0</v>
      </c>
    </row>
    <row r="51" spans="1:16" ht="15" hidden="1" customHeight="1" outlineLevel="1" x14ac:dyDescent="0.25">
      <c r="A51" s="39" t="s">
        <v>11</v>
      </c>
      <c r="B51" s="46" t="s">
        <v>498</v>
      </c>
      <c r="C51" s="157"/>
      <c r="D51" s="23" t="s">
        <v>29</v>
      </c>
      <c r="E51" s="20" t="s">
        <v>17</v>
      </c>
      <c r="F51" s="20" t="s">
        <v>18</v>
      </c>
      <c r="G51" s="20" t="s">
        <v>30</v>
      </c>
      <c r="H51" s="24">
        <v>0</v>
      </c>
      <c r="I51" s="24">
        <v>0</v>
      </c>
      <c r="J51" s="24">
        <v>174</v>
      </c>
      <c r="K51" s="24">
        <v>174</v>
      </c>
      <c r="L51" s="24">
        <v>108.89599999999999</v>
      </c>
      <c r="M51" s="24">
        <v>83.57</v>
      </c>
      <c r="N51" s="24">
        <v>142</v>
      </c>
      <c r="O51" s="24">
        <f t="shared" si="4"/>
        <v>142</v>
      </c>
      <c r="P51" s="215">
        <f t="shared" si="5"/>
        <v>142</v>
      </c>
    </row>
    <row r="52" spans="1:16" ht="15" hidden="1" customHeight="1" outlineLevel="1" x14ac:dyDescent="0.25">
      <c r="A52" s="39" t="s">
        <v>11</v>
      </c>
      <c r="B52" s="46" t="s">
        <v>502</v>
      </c>
      <c r="C52" s="157"/>
      <c r="D52" s="23" t="s">
        <v>29</v>
      </c>
      <c r="E52" s="20" t="s">
        <v>17</v>
      </c>
      <c r="F52" s="20" t="s">
        <v>18</v>
      </c>
      <c r="G52" s="20" t="s">
        <v>30</v>
      </c>
      <c r="H52" s="24">
        <v>0</v>
      </c>
      <c r="I52" s="24">
        <v>0</v>
      </c>
      <c r="J52" s="24">
        <v>142</v>
      </c>
      <c r="K52" s="24">
        <v>142</v>
      </c>
      <c r="L52" s="24">
        <v>149.70400000000001</v>
      </c>
      <c r="M52" s="24">
        <v>119.59</v>
      </c>
      <c r="N52" s="24">
        <v>168</v>
      </c>
      <c r="O52" s="24">
        <f t="shared" si="4"/>
        <v>168</v>
      </c>
      <c r="P52" s="215">
        <f t="shared" si="5"/>
        <v>168</v>
      </c>
    </row>
    <row r="53" spans="1:16" ht="15" hidden="1" customHeight="1" outlineLevel="1" x14ac:dyDescent="0.25">
      <c r="A53" s="39" t="s">
        <v>11</v>
      </c>
      <c r="B53" s="46" t="s">
        <v>504</v>
      </c>
      <c r="C53" s="157"/>
      <c r="D53" s="23" t="s">
        <v>29</v>
      </c>
      <c r="E53" s="20" t="s">
        <v>17</v>
      </c>
      <c r="F53" s="20" t="s">
        <v>18</v>
      </c>
      <c r="G53" s="20" t="s">
        <v>30</v>
      </c>
      <c r="H53" s="24">
        <v>0</v>
      </c>
      <c r="I53" s="24">
        <v>0</v>
      </c>
      <c r="J53" s="24">
        <v>167</v>
      </c>
      <c r="K53" s="24">
        <v>167</v>
      </c>
      <c r="L53" s="24">
        <v>199.58</v>
      </c>
      <c r="M53" s="24">
        <v>143.58000000000001</v>
      </c>
      <c r="N53" s="24">
        <v>306</v>
      </c>
      <c r="O53" s="24">
        <f t="shared" si="4"/>
        <v>306</v>
      </c>
      <c r="P53" s="215">
        <f t="shared" si="5"/>
        <v>306</v>
      </c>
    </row>
    <row r="54" spans="1:16" ht="15" hidden="1" customHeight="1" outlineLevel="1" x14ac:dyDescent="0.25">
      <c r="A54" s="39" t="s">
        <v>11</v>
      </c>
      <c r="B54" s="46" t="s">
        <v>483</v>
      </c>
      <c r="C54" s="157"/>
      <c r="D54" s="23" t="s">
        <v>32</v>
      </c>
      <c r="E54" s="20" t="s">
        <v>17</v>
      </c>
      <c r="F54" s="20" t="s">
        <v>18</v>
      </c>
      <c r="G54" s="20" t="s">
        <v>34</v>
      </c>
      <c r="H54" s="24">
        <v>31415.33</v>
      </c>
      <c r="I54" s="24">
        <v>32397.37</v>
      </c>
      <c r="J54" s="24">
        <v>9357</v>
      </c>
      <c r="K54" s="24">
        <v>9657</v>
      </c>
      <c r="L54" s="24">
        <f>M54/10*12.5</f>
        <v>6089.3499999999995</v>
      </c>
      <c r="M54" s="24">
        <v>4871.4799999999996</v>
      </c>
      <c r="N54" s="24">
        <v>10350</v>
      </c>
      <c r="O54" s="24">
        <f t="shared" si="4"/>
        <v>10350</v>
      </c>
      <c r="P54" s="215">
        <f t="shared" si="5"/>
        <v>10350</v>
      </c>
    </row>
    <row r="55" spans="1:16" ht="15" hidden="1" customHeight="1" outlineLevel="1" x14ac:dyDescent="0.25">
      <c r="A55" s="39"/>
      <c r="B55" s="46" t="s">
        <v>486</v>
      </c>
      <c r="C55" s="157"/>
      <c r="D55" s="23" t="s">
        <v>32</v>
      </c>
      <c r="E55" s="20" t="s">
        <v>17</v>
      </c>
      <c r="F55" s="20" t="s">
        <v>18</v>
      </c>
      <c r="G55" s="20" t="s">
        <v>34</v>
      </c>
      <c r="H55" s="24">
        <v>0</v>
      </c>
      <c r="I55" s="24">
        <v>0</v>
      </c>
      <c r="J55" s="24">
        <v>8074</v>
      </c>
      <c r="K55" s="24">
        <v>7774</v>
      </c>
      <c r="L55" s="24">
        <f>M55/10*13</f>
        <v>6681.8180000000002</v>
      </c>
      <c r="M55" s="24">
        <v>5139.8599999999997</v>
      </c>
      <c r="N55" s="24">
        <v>11210</v>
      </c>
      <c r="O55" s="24">
        <f t="shared" si="4"/>
        <v>11210</v>
      </c>
      <c r="P55" s="215">
        <f t="shared" si="5"/>
        <v>11210</v>
      </c>
    </row>
    <row r="56" spans="1:16" ht="15" hidden="1" customHeight="1" outlineLevel="1" x14ac:dyDescent="0.25">
      <c r="A56" s="39" t="s">
        <v>11</v>
      </c>
      <c r="B56" s="46" t="s">
        <v>486</v>
      </c>
      <c r="C56" s="157"/>
      <c r="D56" s="23" t="s">
        <v>32</v>
      </c>
      <c r="E56" s="20" t="s">
        <v>14</v>
      </c>
      <c r="F56" s="20" t="s">
        <v>18</v>
      </c>
      <c r="G56" s="20" t="s">
        <v>34</v>
      </c>
      <c r="H56" s="24">
        <v>0</v>
      </c>
      <c r="I56" s="24">
        <v>0</v>
      </c>
      <c r="J56" s="24"/>
      <c r="K56" s="24"/>
      <c r="L56" s="24">
        <f>M56/10*13</f>
        <v>0</v>
      </c>
      <c r="M56" s="24">
        <v>0</v>
      </c>
      <c r="N56" s="24">
        <v>1462</v>
      </c>
      <c r="O56" s="24">
        <f t="shared" si="4"/>
        <v>1462</v>
      </c>
      <c r="P56" s="215">
        <f t="shared" si="5"/>
        <v>1462</v>
      </c>
    </row>
    <row r="57" spans="1:16" ht="15" hidden="1" customHeight="1" outlineLevel="1" x14ac:dyDescent="0.25">
      <c r="A57" s="39" t="s">
        <v>11</v>
      </c>
      <c r="B57" s="46" t="s">
        <v>487</v>
      </c>
      <c r="C57" s="157"/>
      <c r="D57" s="23" t="s">
        <v>32</v>
      </c>
      <c r="E57" s="20" t="s">
        <v>17</v>
      </c>
      <c r="F57" s="20" t="s">
        <v>18</v>
      </c>
      <c r="G57" s="20" t="s">
        <v>34</v>
      </c>
      <c r="H57" s="24">
        <v>0</v>
      </c>
      <c r="I57" s="24">
        <v>0</v>
      </c>
      <c r="J57" s="24">
        <v>4133</v>
      </c>
      <c r="K57" s="24">
        <v>4133</v>
      </c>
      <c r="L57" s="24">
        <v>4472.97</v>
      </c>
      <c r="M57" s="24">
        <v>3828.27</v>
      </c>
      <c r="N57" s="24">
        <v>3680</v>
      </c>
      <c r="O57" s="24">
        <f t="shared" si="4"/>
        <v>3680</v>
      </c>
      <c r="P57" s="215">
        <f t="shared" si="5"/>
        <v>3680</v>
      </c>
    </row>
    <row r="58" spans="1:16" ht="15" hidden="1" customHeight="1" outlineLevel="1" x14ac:dyDescent="0.25">
      <c r="A58" s="39" t="s">
        <v>11</v>
      </c>
      <c r="B58" s="46" t="s">
        <v>488</v>
      </c>
      <c r="C58" s="157"/>
      <c r="D58" s="23" t="s">
        <v>32</v>
      </c>
      <c r="E58" s="20" t="s">
        <v>17</v>
      </c>
      <c r="F58" s="20" t="s">
        <v>18</v>
      </c>
      <c r="G58" s="20" t="s">
        <v>34</v>
      </c>
      <c r="H58" s="24">
        <v>0</v>
      </c>
      <c r="I58" s="24">
        <v>0</v>
      </c>
      <c r="J58" s="24">
        <v>4090</v>
      </c>
      <c r="K58" s="24">
        <v>4090</v>
      </c>
      <c r="L58" s="24">
        <v>3111.57</v>
      </c>
      <c r="M58" s="24">
        <v>2715.65</v>
      </c>
      <c r="N58" s="24">
        <v>2170</v>
      </c>
      <c r="O58" s="24">
        <f t="shared" si="4"/>
        <v>2170</v>
      </c>
      <c r="P58" s="215">
        <f t="shared" si="5"/>
        <v>2170</v>
      </c>
    </row>
    <row r="59" spans="1:16" ht="15" hidden="1" customHeight="1" outlineLevel="1" x14ac:dyDescent="0.25">
      <c r="A59" s="39" t="s">
        <v>11</v>
      </c>
      <c r="B59" s="46" t="s">
        <v>489</v>
      </c>
      <c r="C59" s="157"/>
      <c r="D59" s="23" t="s">
        <v>32</v>
      </c>
      <c r="E59" s="20" t="s">
        <v>17</v>
      </c>
      <c r="F59" s="20" t="s">
        <v>18</v>
      </c>
      <c r="G59" s="20" t="s">
        <v>34</v>
      </c>
      <c r="H59" s="24">
        <v>0</v>
      </c>
      <c r="I59" s="24">
        <v>0</v>
      </c>
      <c r="J59" s="24">
        <v>4585</v>
      </c>
      <c r="K59" s="24">
        <v>4585</v>
      </c>
      <c r="L59" s="24">
        <v>4734.72</v>
      </c>
      <c r="M59" s="24">
        <v>3576.08</v>
      </c>
      <c r="N59" s="24">
        <v>6542</v>
      </c>
      <c r="O59" s="24">
        <f t="shared" si="4"/>
        <v>6542</v>
      </c>
      <c r="P59" s="215">
        <f t="shared" si="5"/>
        <v>6542</v>
      </c>
    </row>
    <row r="60" spans="1:16" ht="15" hidden="1" customHeight="1" outlineLevel="1" x14ac:dyDescent="0.25">
      <c r="A60" s="39" t="s">
        <v>11</v>
      </c>
      <c r="B60" s="46" t="s">
        <v>490</v>
      </c>
      <c r="C60" s="157"/>
      <c r="D60" s="23" t="s">
        <v>32</v>
      </c>
      <c r="E60" s="20" t="s">
        <v>17</v>
      </c>
      <c r="F60" s="20" t="s">
        <v>18</v>
      </c>
      <c r="G60" s="20" t="s">
        <v>34</v>
      </c>
      <c r="H60" s="24">
        <v>0</v>
      </c>
      <c r="I60" s="24">
        <v>0</v>
      </c>
      <c r="J60" s="24">
        <v>2730</v>
      </c>
      <c r="K60" s="24">
        <v>2730</v>
      </c>
      <c r="L60" s="24">
        <v>0</v>
      </c>
      <c r="M60" s="24">
        <v>0</v>
      </c>
      <c r="N60" s="24">
        <v>0</v>
      </c>
      <c r="O60" s="24">
        <f t="shared" si="4"/>
        <v>0</v>
      </c>
      <c r="P60" s="215">
        <f t="shared" si="5"/>
        <v>0</v>
      </c>
    </row>
    <row r="61" spans="1:16" ht="15" hidden="1" customHeight="1" outlineLevel="1" x14ac:dyDescent="0.25">
      <c r="A61" s="39" t="s">
        <v>11</v>
      </c>
      <c r="B61" s="46" t="s">
        <v>498</v>
      </c>
      <c r="C61" s="157"/>
      <c r="D61" s="23" t="s">
        <v>32</v>
      </c>
      <c r="E61" s="20" t="s">
        <v>17</v>
      </c>
      <c r="F61" s="20" t="s">
        <v>18</v>
      </c>
      <c r="G61" s="20" t="s">
        <v>34</v>
      </c>
      <c r="H61" s="24">
        <v>0</v>
      </c>
      <c r="I61" s="24">
        <v>0</v>
      </c>
      <c r="J61" s="24">
        <v>1740</v>
      </c>
      <c r="K61" s="24">
        <v>1740</v>
      </c>
      <c r="L61" s="24">
        <v>1089.44</v>
      </c>
      <c r="M61" s="24">
        <v>836.18</v>
      </c>
      <c r="N61" s="24">
        <v>1421</v>
      </c>
      <c r="O61" s="24">
        <f t="shared" si="4"/>
        <v>1421</v>
      </c>
      <c r="P61" s="215">
        <f t="shared" si="5"/>
        <v>1421</v>
      </c>
    </row>
    <row r="62" spans="1:16" ht="15" hidden="1" customHeight="1" outlineLevel="1" x14ac:dyDescent="0.25">
      <c r="A62" s="39" t="s">
        <v>11</v>
      </c>
      <c r="B62" s="46" t="s">
        <v>502</v>
      </c>
      <c r="C62" s="157"/>
      <c r="D62" s="23" t="s">
        <v>32</v>
      </c>
      <c r="E62" s="20" t="s">
        <v>17</v>
      </c>
      <c r="F62" s="20" t="s">
        <v>18</v>
      </c>
      <c r="G62" s="20" t="s">
        <v>34</v>
      </c>
      <c r="H62" s="24">
        <v>0</v>
      </c>
      <c r="I62" s="24">
        <v>0</v>
      </c>
      <c r="J62" s="24">
        <v>1418</v>
      </c>
      <c r="K62" s="24">
        <v>1418</v>
      </c>
      <c r="L62" s="24">
        <v>1497.21</v>
      </c>
      <c r="M62" s="24">
        <v>1196.07</v>
      </c>
      <c r="N62" s="24">
        <v>1675</v>
      </c>
      <c r="O62" s="24">
        <f t="shared" si="4"/>
        <v>1675</v>
      </c>
      <c r="P62" s="215">
        <f t="shared" si="5"/>
        <v>1675</v>
      </c>
    </row>
    <row r="63" spans="1:16" ht="15" hidden="1" customHeight="1" outlineLevel="1" x14ac:dyDescent="0.25">
      <c r="A63" s="39" t="s">
        <v>11</v>
      </c>
      <c r="B63" s="46" t="s">
        <v>504</v>
      </c>
      <c r="C63" s="157"/>
      <c r="D63" s="23" t="s">
        <v>32</v>
      </c>
      <c r="E63" s="20" t="s">
        <v>17</v>
      </c>
      <c r="F63" s="20" t="s">
        <v>18</v>
      </c>
      <c r="G63" s="20" t="s">
        <v>34</v>
      </c>
      <c r="H63" s="24">
        <v>0</v>
      </c>
      <c r="I63" s="24">
        <v>0</v>
      </c>
      <c r="J63" s="24">
        <v>1665</v>
      </c>
      <c r="K63" s="24">
        <v>1665</v>
      </c>
      <c r="L63" s="24">
        <v>1996.54</v>
      </c>
      <c r="M63" s="24">
        <v>1436.54</v>
      </c>
      <c r="N63" s="24">
        <v>3061</v>
      </c>
      <c r="O63" s="24">
        <f t="shared" si="4"/>
        <v>3061</v>
      </c>
      <c r="P63" s="215">
        <f t="shared" si="5"/>
        <v>3061</v>
      </c>
    </row>
    <row r="64" spans="1:16" ht="15" hidden="1" customHeight="1" outlineLevel="1" x14ac:dyDescent="0.25">
      <c r="A64" s="39" t="s">
        <v>11</v>
      </c>
      <c r="B64" s="46" t="s">
        <v>483</v>
      </c>
      <c r="C64" s="157"/>
      <c r="D64" s="23" t="s">
        <v>36</v>
      </c>
      <c r="E64" s="20" t="s">
        <v>17</v>
      </c>
      <c r="F64" s="20" t="s">
        <v>18</v>
      </c>
      <c r="G64" s="20" t="s">
        <v>38</v>
      </c>
      <c r="H64" s="24">
        <v>1777.29</v>
      </c>
      <c r="I64" s="24">
        <v>1861.1</v>
      </c>
      <c r="J64" s="24">
        <v>534</v>
      </c>
      <c r="K64" s="24">
        <v>584</v>
      </c>
      <c r="L64" s="24">
        <f>M64/10*12.5</f>
        <v>349.72499999999997</v>
      </c>
      <c r="M64" s="24">
        <v>279.77999999999997</v>
      </c>
      <c r="N64" s="24">
        <v>592</v>
      </c>
      <c r="O64" s="24">
        <f t="shared" si="4"/>
        <v>592</v>
      </c>
      <c r="P64" s="215">
        <f t="shared" si="5"/>
        <v>592</v>
      </c>
    </row>
    <row r="65" spans="1:16" ht="15" hidden="1" customHeight="1" outlineLevel="1" x14ac:dyDescent="0.25">
      <c r="A65" s="39" t="s">
        <v>11</v>
      </c>
      <c r="B65" s="46" t="s">
        <v>486</v>
      </c>
      <c r="C65" s="157"/>
      <c r="D65" s="23" t="s">
        <v>36</v>
      </c>
      <c r="E65" s="20" t="s">
        <v>17</v>
      </c>
      <c r="F65" s="20" t="s">
        <v>18</v>
      </c>
      <c r="G65" s="20" t="s">
        <v>38</v>
      </c>
      <c r="H65" s="24">
        <v>0</v>
      </c>
      <c r="I65" s="24">
        <v>0</v>
      </c>
      <c r="J65" s="24">
        <v>461</v>
      </c>
      <c r="K65" s="24">
        <v>411</v>
      </c>
      <c r="L65" s="24">
        <f>M65/10*13</f>
        <v>451.113</v>
      </c>
      <c r="M65" s="24">
        <v>347.01</v>
      </c>
      <c r="N65" s="24">
        <v>645</v>
      </c>
      <c r="O65" s="24">
        <f t="shared" si="4"/>
        <v>645</v>
      </c>
      <c r="P65" s="215">
        <f t="shared" si="5"/>
        <v>645</v>
      </c>
    </row>
    <row r="66" spans="1:16" ht="15" hidden="1" customHeight="1" outlineLevel="1" x14ac:dyDescent="0.25">
      <c r="A66" s="39" t="s">
        <v>11</v>
      </c>
      <c r="B66" s="46" t="s">
        <v>486</v>
      </c>
      <c r="C66" s="157"/>
      <c r="D66" s="23" t="s">
        <v>36</v>
      </c>
      <c r="E66" s="20" t="s">
        <v>14</v>
      </c>
      <c r="F66" s="20" t="s">
        <v>18</v>
      </c>
      <c r="G66" s="20" t="s">
        <v>38</v>
      </c>
      <c r="H66" s="24">
        <v>0</v>
      </c>
      <c r="I66" s="24">
        <v>0</v>
      </c>
      <c r="J66" s="24"/>
      <c r="K66" s="24"/>
      <c r="L66" s="24">
        <f>M66/10*13</f>
        <v>0</v>
      </c>
      <c r="M66" s="24">
        <v>0</v>
      </c>
      <c r="N66" s="24">
        <v>85</v>
      </c>
      <c r="O66" s="24">
        <f t="shared" si="4"/>
        <v>85</v>
      </c>
      <c r="P66" s="215">
        <f t="shared" si="5"/>
        <v>85</v>
      </c>
    </row>
    <row r="67" spans="1:16" ht="15" hidden="1" customHeight="1" outlineLevel="1" x14ac:dyDescent="0.25">
      <c r="A67" s="39" t="s">
        <v>11</v>
      </c>
      <c r="B67" s="46" t="s">
        <v>487</v>
      </c>
      <c r="C67" s="157"/>
      <c r="D67" s="23" t="s">
        <v>36</v>
      </c>
      <c r="E67" s="20" t="s">
        <v>17</v>
      </c>
      <c r="F67" s="20" t="s">
        <v>18</v>
      </c>
      <c r="G67" s="20" t="s">
        <v>38</v>
      </c>
      <c r="H67" s="24">
        <v>0</v>
      </c>
      <c r="I67" s="24">
        <v>0</v>
      </c>
      <c r="J67" s="24">
        <v>236</v>
      </c>
      <c r="K67" s="24">
        <v>236</v>
      </c>
      <c r="L67" s="24">
        <v>255.49</v>
      </c>
      <c r="M67" s="24">
        <v>218.65</v>
      </c>
      <c r="N67" s="24">
        <v>210</v>
      </c>
      <c r="O67" s="24">
        <f t="shared" si="4"/>
        <v>210</v>
      </c>
      <c r="P67" s="215">
        <f t="shared" si="5"/>
        <v>210</v>
      </c>
    </row>
    <row r="68" spans="1:16" ht="15" hidden="1" customHeight="1" outlineLevel="1" x14ac:dyDescent="0.25">
      <c r="A68" s="39" t="s">
        <v>11</v>
      </c>
      <c r="B68" s="46" t="s">
        <v>488</v>
      </c>
      <c r="C68" s="157"/>
      <c r="D68" s="23" t="s">
        <v>36</v>
      </c>
      <c r="E68" s="20" t="s">
        <v>17</v>
      </c>
      <c r="F68" s="20" t="s">
        <v>18</v>
      </c>
      <c r="G68" s="20" t="s">
        <v>38</v>
      </c>
      <c r="H68" s="24">
        <v>0</v>
      </c>
      <c r="I68" s="24">
        <v>0</v>
      </c>
      <c r="J68" s="24">
        <v>234</v>
      </c>
      <c r="K68" s="24">
        <v>234</v>
      </c>
      <c r="L68" s="24">
        <v>180.44399999999999</v>
      </c>
      <c r="M68" s="24">
        <v>157.82</v>
      </c>
      <c r="N68" s="24">
        <v>124</v>
      </c>
      <c r="O68" s="24">
        <f t="shared" si="4"/>
        <v>124</v>
      </c>
      <c r="P68" s="215">
        <f t="shared" si="5"/>
        <v>124</v>
      </c>
    </row>
    <row r="69" spans="1:16" ht="15" hidden="1" customHeight="1" outlineLevel="1" x14ac:dyDescent="0.25">
      <c r="A69" s="39" t="s">
        <v>11</v>
      </c>
      <c r="B69" s="46" t="s">
        <v>489</v>
      </c>
      <c r="C69" s="157"/>
      <c r="D69" s="23" t="s">
        <v>36</v>
      </c>
      <c r="E69" s="20" t="s">
        <v>17</v>
      </c>
      <c r="F69" s="20" t="s">
        <v>18</v>
      </c>
      <c r="G69" s="20" t="s">
        <v>38</v>
      </c>
      <c r="H69" s="24">
        <v>0</v>
      </c>
      <c r="I69" s="24">
        <v>0</v>
      </c>
      <c r="J69" s="24">
        <v>262</v>
      </c>
      <c r="K69" s="24">
        <v>262</v>
      </c>
      <c r="L69" s="24">
        <v>270.358</v>
      </c>
      <c r="M69" s="24">
        <v>204.15</v>
      </c>
      <c r="N69" s="24">
        <v>374</v>
      </c>
      <c r="O69" s="24">
        <f t="shared" si="4"/>
        <v>374</v>
      </c>
      <c r="P69" s="215">
        <f t="shared" si="5"/>
        <v>374</v>
      </c>
    </row>
    <row r="70" spans="1:16" ht="15" hidden="1" customHeight="1" outlineLevel="1" x14ac:dyDescent="0.25">
      <c r="A70" s="39" t="s">
        <v>11</v>
      </c>
      <c r="B70" s="46" t="s">
        <v>490</v>
      </c>
      <c r="C70" s="157"/>
      <c r="D70" s="23" t="s">
        <v>36</v>
      </c>
      <c r="E70" s="20" t="s">
        <v>17</v>
      </c>
      <c r="F70" s="20" t="s">
        <v>18</v>
      </c>
      <c r="G70" s="20" t="s">
        <v>38</v>
      </c>
      <c r="H70" s="24">
        <v>0</v>
      </c>
      <c r="I70" s="24">
        <v>0</v>
      </c>
      <c r="J70" s="24">
        <v>156</v>
      </c>
      <c r="K70" s="24">
        <v>156</v>
      </c>
      <c r="L70" s="24">
        <v>0</v>
      </c>
      <c r="M70" s="24">
        <v>0</v>
      </c>
      <c r="N70" s="24">
        <v>0</v>
      </c>
      <c r="O70" s="24">
        <f t="shared" si="4"/>
        <v>0</v>
      </c>
      <c r="P70" s="215">
        <f t="shared" si="5"/>
        <v>0</v>
      </c>
    </row>
    <row r="71" spans="1:16" ht="15" hidden="1" customHeight="1" outlineLevel="1" x14ac:dyDescent="0.25">
      <c r="A71" s="39" t="s">
        <v>11</v>
      </c>
      <c r="B71" s="46" t="s">
        <v>498</v>
      </c>
      <c r="C71" s="157"/>
      <c r="D71" s="23" t="s">
        <v>36</v>
      </c>
      <c r="E71" s="20" t="s">
        <v>17</v>
      </c>
      <c r="F71" s="20" t="s">
        <v>18</v>
      </c>
      <c r="G71" s="20" t="s">
        <v>38</v>
      </c>
      <c r="H71" s="24">
        <v>0</v>
      </c>
      <c r="I71" s="24">
        <v>0</v>
      </c>
      <c r="J71" s="24">
        <v>99</v>
      </c>
      <c r="K71" s="24">
        <v>99</v>
      </c>
      <c r="L71" s="24">
        <v>62.212000000000003</v>
      </c>
      <c r="M71" s="24">
        <v>47.74</v>
      </c>
      <c r="N71" s="24">
        <v>81</v>
      </c>
      <c r="O71" s="24">
        <f t="shared" si="4"/>
        <v>81</v>
      </c>
      <c r="P71" s="215">
        <f t="shared" si="5"/>
        <v>81</v>
      </c>
    </row>
    <row r="72" spans="1:16" ht="15" hidden="1" customHeight="1" outlineLevel="1" x14ac:dyDescent="0.25">
      <c r="A72" s="39" t="s">
        <v>11</v>
      </c>
      <c r="B72" s="46" t="s">
        <v>502</v>
      </c>
      <c r="C72" s="157"/>
      <c r="D72" s="23" t="s">
        <v>36</v>
      </c>
      <c r="E72" s="20" t="s">
        <v>17</v>
      </c>
      <c r="F72" s="20" t="s">
        <v>18</v>
      </c>
      <c r="G72" s="20" t="s">
        <v>38</v>
      </c>
      <c r="H72" s="24">
        <v>0</v>
      </c>
      <c r="I72" s="24">
        <v>0</v>
      </c>
      <c r="J72" s="24">
        <v>81</v>
      </c>
      <c r="K72" s="24">
        <v>81</v>
      </c>
      <c r="L72" s="24">
        <v>85.537999999999997</v>
      </c>
      <c r="M72" s="24">
        <v>68.33</v>
      </c>
      <c r="N72" s="24">
        <v>96</v>
      </c>
      <c r="O72" s="24">
        <f t="shared" si="4"/>
        <v>96</v>
      </c>
      <c r="P72" s="215">
        <f t="shared" si="5"/>
        <v>96</v>
      </c>
    </row>
    <row r="73" spans="1:16" ht="15" hidden="1" customHeight="1" outlineLevel="1" x14ac:dyDescent="0.25">
      <c r="A73" s="39" t="s">
        <v>11</v>
      </c>
      <c r="B73" s="46" t="s">
        <v>504</v>
      </c>
      <c r="C73" s="157"/>
      <c r="D73" s="23" t="s">
        <v>36</v>
      </c>
      <c r="E73" s="20" t="s">
        <v>17</v>
      </c>
      <c r="F73" s="20" t="s">
        <v>18</v>
      </c>
      <c r="G73" s="20" t="s">
        <v>38</v>
      </c>
      <c r="H73" s="24">
        <v>0</v>
      </c>
      <c r="I73" s="24">
        <v>0</v>
      </c>
      <c r="J73" s="24">
        <v>95</v>
      </c>
      <c r="K73" s="24">
        <v>95</v>
      </c>
      <c r="L73" s="24">
        <v>114.23</v>
      </c>
      <c r="M73" s="24">
        <v>82.23</v>
      </c>
      <c r="N73" s="24">
        <v>175</v>
      </c>
      <c r="O73" s="24">
        <f t="shared" si="4"/>
        <v>175</v>
      </c>
      <c r="P73" s="215">
        <f t="shared" si="5"/>
        <v>175</v>
      </c>
    </row>
    <row r="74" spans="1:16" ht="15" hidden="1" customHeight="1" outlineLevel="1" x14ac:dyDescent="0.25">
      <c r="A74" s="39" t="s">
        <v>11</v>
      </c>
      <c r="B74" s="46" t="s">
        <v>483</v>
      </c>
      <c r="C74" s="157"/>
      <c r="D74" s="23" t="s">
        <v>40</v>
      </c>
      <c r="E74" s="20" t="s">
        <v>17</v>
      </c>
      <c r="F74" s="20" t="s">
        <v>18</v>
      </c>
      <c r="G74" s="20" t="s">
        <v>42</v>
      </c>
      <c r="H74" s="24">
        <v>5674.57</v>
      </c>
      <c r="I74" s="24">
        <v>5685.64</v>
      </c>
      <c r="J74" s="24">
        <v>2005</v>
      </c>
      <c r="K74" s="24">
        <v>2045</v>
      </c>
      <c r="L74" s="24">
        <f>M74/10*12.5</f>
        <v>1288.3875</v>
      </c>
      <c r="M74" s="24">
        <v>1030.71</v>
      </c>
      <c r="N74" s="24">
        <v>2220</v>
      </c>
      <c r="O74" s="24">
        <f t="shared" si="4"/>
        <v>2220</v>
      </c>
      <c r="P74" s="215">
        <f t="shared" si="5"/>
        <v>2220</v>
      </c>
    </row>
    <row r="75" spans="1:16" ht="15" hidden="1" customHeight="1" outlineLevel="1" x14ac:dyDescent="0.25">
      <c r="A75" s="39" t="s">
        <v>11</v>
      </c>
      <c r="B75" s="46" t="s">
        <v>486</v>
      </c>
      <c r="C75" s="157"/>
      <c r="D75" s="23" t="s">
        <v>40</v>
      </c>
      <c r="E75" s="20" t="s">
        <v>17</v>
      </c>
      <c r="F75" s="20" t="s">
        <v>18</v>
      </c>
      <c r="G75" s="20" t="s">
        <v>42</v>
      </c>
      <c r="H75" s="24">
        <v>0</v>
      </c>
      <c r="I75" s="24">
        <v>0</v>
      </c>
      <c r="J75" s="24">
        <v>1730</v>
      </c>
      <c r="K75" s="24">
        <v>1730</v>
      </c>
      <c r="L75" s="24">
        <f>M75/10*13</f>
        <v>1440.9590000000001</v>
      </c>
      <c r="M75" s="24">
        <v>1108.43</v>
      </c>
      <c r="N75" s="24">
        <v>2410</v>
      </c>
      <c r="O75" s="24">
        <f t="shared" si="4"/>
        <v>2410</v>
      </c>
      <c r="P75" s="215">
        <f t="shared" si="5"/>
        <v>2410</v>
      </c>
    </row>
    <row r="76" spans="1:16" ht="15" hidden="1" customHeight="1" outlineLevel="1" x14ac:dyDescent="0.25">
      <c r="A76" s="39" t="s">
        <v>11</v>
      </c>
      <c r="B76" s="46" t="s">
        <v>486</v>
      </c>
      <c r="C76" s="157"/>
      <c r="D76" s="23" t="s">
        <v>40</v>
      </c>
      <c r="E76" s="20" t="s">
        <v>14</v>
      </c>
      <c r="F76" s="20" t="s">
        <v>18</v>
      </c>
      <c r="G76" s="20" t="s">
        <v>42</v>
      </c>
      <c r="H76" s="24">
        <v>0</v>
      </c>
      <c r="I76" s="24">
        <v>0</v>
      </c>
      <c r="J76" s="24"/>
      <c r="K76" s="24"/>
      <c r="L76" s="24">
        <f>M76/10*13</f>
        <v>0</v>
      </c>
      <c r="M76" s="24">
        <v>0</v>
      </c>
      <c r="N76" s="24">
        <v>315</v>
      </c>
      <c r="O76" s="24">
        <f t="shared" si="4"/>
        <v>315</v>
      </c>
      <c r="P76" s="215">
        <f t="shared" si="5"/>
        <v>315</v>
      </c>
    </row>
    <row r="77" spans="1:16" ht="15" hidden="1" customHeight="1" outlineLevel="1" x14ac:dyDescent="0.25">
      <c r="A77" s="39" t="s">
        <v>11</v>
      </c>
      <c r="B77" s="46" t="s">
        <v>487</v>
      </c>
      <c r="C77" s="157"/>
      <c r="D77" s="23" t="s">
        <v>40</v>
      </c>
      <c r="E77" s="20" t="s">
        <v>17</v>
      </c>
      <c r="F77" s="20" t="s">
        <v>18</v>
      </c>
      <c r="G77" s="20" t="s">
        <v>42</v>
      </c>
      <c r="H77" s="24">
        <v>0</v>
      </c>
      <c r="I77" s="24">
        <v>0</v>
      </c>
      <c r="J77" s="24">
        <v>886</v>
      </c>
      <c r="K77" s="24">
        <v>886</v>
      </c>
      <c r="L77" s="24">
        <v>958.42</v>
      </c>
      <c r="M77" s="24">
        <v>820.27</v>
      </c>
      <c r="N77" s="24">
        <v>790</v>
      </c>
      <c r="O77" s="24">
        <f t="shared" si="4"/>
        <v>790</v>
      </c>
      <c r="P77" s="215">
        <f t="shared" si="5"/>
        <v>790</v>
      </c>
    </row>
    <row r="78" spans="1:16" ht="15" hidden="1" customHeight="1" outlineLevel="1" x14ac:dyDescent="0.25">
      <c r="A78" s="39" t="s">
        <v>11</v>
      </c>
      <c r="B78" s="46" t="s">
        <v>488</v>
      </c>
      <c r="C78" s="157"/>
      <c r="D78" s="23" t="s">
        <v>40</v>
      </c>
      <c r="E78" s="20" t="s">
        <v>17</v>
      </c>
      <c r="F78" s="20" t="s">
        <v>18</v>
      </c>
      <c r="G78" s="20" t="s">
        <v>42</v>
      </c>
      <c r="H78" s="24">
        <v>0</v>
      </c>
      <c r="I78" s="24">
        <v>0</v>
      </c>
      <c r="J78" s="24">
        <v>876</v>
      </c>
      <c r="K78" s="24">
        <v>876</v>
      </c>
      <c r="L78" s="24">
        <v>666.72</v>
      </c>
      <c r="M78" s="24">
        <v>581.88</v>
      </c>
      <c r="N78" s="24">
        <v>465</v>
      </c>
      <c r="O78" s="24">
        <f t="shared" si="4"/>
        <v>465</v>
      </c>
      <c r="P78" s="215">
        <f t="shared" si="5"/>
        <v>465</v>
      </c>
    </row>
    <row r="79" spans="1:16" ht="15" hidden="1" customHeight="1" outlineLevel="1" x14ac:dyDescent="0.25">
      <c r="A79" s="39" t="s">
        <v>11</v>
      </c>
      <c r="B79" s="46" t="s">
        <v>489</v>
      </c>
      <c r="C79" s="157"/>
      <c r="D79" s="23" t="s">
        <v>40</v>
      </c>
      <c r="E79" s="20" t="s">
        <v>17</v>
      </c>
      <c r="F79" s="20" t="s">
        <v>18</v>
      </c>
      <c r="G79" s="20" t="s">
        <v>42</v>
      </c>
      <c r="H79" s="24">
        <v>0</v>
      </c>
      <c r="I79" s="24">
        <v>0</v>
      </c>
      <c r="J79" s="24">
        <v>982</v>
      </c>
      <c r="K79" s="24">
        <v>982</v>
      </c>
      <c r="L79" s="24">
        <v>987.44999999999993</v>
      </c>
      <c r="M79" s="24">
        <v>739.17</v>
      </c>
      <c r="N79" s="24">
        <v>1402</v>
      </c>
      <c r="O79" s="24">
        <f t="shared" si="4"/>
        <v>1402</v>
      </c>
      <c r="P79" s="215">
        <f t="shared" si="5"/>
        <v>1402</v>
      </c>
    </row>
    <row r="80" spans="1:16" ht="15" hidden="1" customHeight="1" outlineLevel="1" x14ac:dyDescent="0.25">
      <c r="A80" s="39" t="s">
        <v>11</v>
      </c>
      <c r="B80" s="46" t="s">
        <v>490</v>
      </c>
      <c r="C80" s="157"/>
      <c r="D80" s="23" t="s">
        <v>40</v>
      </c>
      <c r="E80" s="20" t="s">
        <v>17</v>
      </c>
      <c r="F80" s="20" t="s">
        <v>18</v>
      </c>
      <c r="G80" s="20" t="s">
        <v>42</v>
      </c>
      <c r="H80" s="24">
        <v>0</v>
      </c>
      <c r="I80" s="24">
        <v>0</v>
      </c>
      <c r="J80" s="24">
        <v>584</v>
      </c>
      <c r="K80" s="24">
        <v>584</v>
      </c>
      <c r="L80" s="24">
        <v>0</v>
      </c>
      <c r="M80" s="24">
        <v>0</v>
      </c>
      <c r="N80" s="24">
        <v>0</v>
      </c>
      <c r="O80" s="24">
        <f t="shared" si="4"/>
        <v>0</v>
      </c>
      <c r="P80" s="215">
        <f t="shared" si="5"/>
        <v>0</v>
      </c>
    </row>
    <row r="81" spans="1:16" ht="15" hidden="1" customHeight="1" outlineLevel="1" x14ac:dyDescent="0.25">
      <c r="A81" s="39" t="s">
        <v>11</v>
      </c>
      <c r="B81" s="46" t="s">
        <v>498</v>
      </c>
      <c r="C81" s="157"/>
      <c r="D81" s="23" t="s">
        <v>40</v>
      </c>
      <c r="E81" s="20" t="s">
        <v>17</v>
      </c>
      <c r="F81" s="20" t="s">
        <v>18</v>
      </c>
      <c r="G81" s="20" t="s">
        <v>42</v>
      </c>
      <c r="H81" s="24">
        <v>0</v>
      </c>
      <c r="I81" s="24">
        <v>0</v>
      </c>
      <c r="J81" s="24">
        <v>373</v>
      </c>
      <c r="K81" s="24">
        <v>373</v>
      </c>
      <c r="L81" s="24">
        <v>233.42000000000002</v>
      </c>
      <c r="M81" s="24">
        <v>179.15</v>
      </c>
      <c r="N81" s="24">
        <v>305</v>
      </c>
      <c r="O81" s="24">
        <f t="shared" si="4"/>
        <v>305</v>
      </c>
      <c r="P81" s="215">
        <f t="shared" si="5"/>
        <v>305</v>
      </c>
    </row>
    <row r="82" spans="1:16" ht="15" hidden="1" customHeight="1" outlineLevel="1" x14ac:dyDescent="0.25">
      <c r="A82" s="39" t="s">
        <v>11</v>
      </c>
      <c r="B82" s="46" t="s">
        <v>502</v>
      </c>
      <c r="C82" s="157"/>
      <c r="D82" s="23" t="s">
        <v>40</v>
      </c>
      <c r="E82" s="20" t="s">
        <v>17</v>
      </c>
      <c r="F82" s="20" t="s">
        <v>18</v>
      </c>
      <c r="G82" s="20" t="s">
        <v>42</v>
      </c>
      <c r="H82" s="24">
        <v>0</v>
      </c>
      <c r="I82" s="24">
        <v>0</v>
      </c>
      <c r="J82" s="24">
        <v>304</v>
      </c>
      <c r="K82" s="24">
        <v>304</v>
      </c>
      <c r="L82" s="24">
        <v>320.82000000000005</v>
      </c>
      <c r="M82" s="24">
        <v>256.29000000000002</v>
      </c>
      <c r="N82" s="24">
        <v>359</v>
      </c>
      <c r="O82" s="24">
        <f t="shared" si="4"/>
        <v>359</v>
      </c>
      <c r="P82" s="215">
        <f t="shared" si="5"/>
        <v>359</v>
      </c>
    </row>
    <row r="83" spans="1:16" ht="15" hidden="1" customHeight="1" outlineLevel="1" x14ac:dyDescent="0.25">
      <c r="A83" s="39" t="s">
        <v>11</v>
      </c>
      <c r="B83" s="46" t="s">
        <v>504</v>
      </c>
      <c r="C83" s="157"/>
      <c r="D83" s="23" t="s">
        <v>40</v>
      </c>
      <c r="E83" s="20" t="s">
        <v>17</v>
      </c>
      <c r="F83" s="20" t="s">
        <v>18</v>
      </c>
      <c r="G83" s="20" t="s">
        <v>42</v>
      </c>
      <c r="H83" s="24">
        <v>0</v>
      </c>
      <c r="I83" s="24">
        <v>0</v>
      </c>
      <c r="J83" s="24">
        <v>357</v>
      </c>
      <c r="K83" s="24">
        <v>357</v>
      </c>
      <c r="L83" s="24">
        <v>360.08000000000004</v>
      </c>
      <c r="M83" s="24">
        <v>240.08</v>
      </c>
      <c r="N83" s="24">
        <v>656</v>
      </c>
      <c r="O83" s="24">
        <f t="shared" ref="O83:O103" si="6">N83</f>
        <v>656</v>
      </c>
      <c r="P83" s="215">
        <f t="shared" ref="P83:P103" si="7">N83</f>
        <v>656</v>
      </c>
    </row>
    <row r="84" spans="1:16" ht="15" hidden="1" customHeight="1" outlineLevel="1" x14ac:dyDescent="0.25">
      <c r="A84" s="39" t="s">
        <v>11</v>
      </c>
      <c r="B84" s="46" t="s">
        <v>483</v>
      </c>
      <c r="C84" s="157"/>
      <c r="D84" s="23" t="s">
        <v>44</v>
      </c>
      <c r="E84" s="20" t="s">
        <v>17</v>
      </c>
      <c r="F84" s="20" t="s">
        <v>18</v>
      </c>
      <c r="G84" s="20" t="s">
        <v>46</v>
      </c>
      <c r="H84" s="24">
        <v>1728.13</v>
      </c>
      <c r="I84" s="24">
        <v>1817.61</v>
      </c>
      <c r="J84" s="24">
        <v>668</v>
      </c>
      <c r="K84" s="24">
        <v>678</v>
      </c>
      <c r="L84" s="24">
        <f>M84/10*12.5</f>
        <v>429.6</v>
      </c>
      <c r="M84" s="24">
        <v>343.68</v>
      </c>
      <c r="N84" s="24">
        <v>740</v>
      </c>
      <c r="O84" s="24">
        <f t="shared" si="6"/>
        <v>740</v>
      </c>
      <c r="P84" s="215">
        <f t="shared" si="7"/>
        <v>740</v>
      </c>
    </row>
    <row r="85" spans="1:16" ht="15" hidden="1" customHeight="1" outlineLevel="1" x14ac:dyDescent="0.25">
      <c r="A85" s="39" t="s">
        <v>11</v>
      </c>
      <c r="B85" s="46" t="s">
        <v>486</v>
      </c>
      <c r="C85" s="157"/>
      <c r="D85" s="23" t="s">
        <v>44</v>
      </c>
      <c r="E85" s="20" t="s">
        <v>17</v>
      </c>
      <c r="F85" s="20" t="s">
        <v>18</v>
      </c>
      <c r="G85" s="20" t="s">
        <v>46</v>
      </c>
      <c r="H85" s="24">
        <v>0</v>
      </c>
      <c r="I85" s="24">
        <v>0</v>
      </c>
      <c r="J85" s="24">
        <v>577</v>
      </c>
      <c r="K85" s="24">
        <v>577</v>
      </c>
      <c r="L85" s="24">
        <f>M85/10*13</f>
        <v>421.53800000000001</v>
      </c>
      <c r="M85" s="24">
        <v>324.26</v>
      </c>
      <c r="N85" s="24">
        <v>810</v>
      </c>
      <c r="O85" s="24">
        <f t="shared" si="6"/>
        <v>810</v>
      </c>
      <c r="P85" s="215">
        <f t="shared" si="7"/>
        <v>810</v>
      </c>
    </row>
    <row r="86" spans="1:16" ht="15" hidden="1" customHeight="1" outlineLevel="1" x14ac:dyDescent="0.25">
      <c r="A86" s="39" t="s">
        <v>11</v>
      </c>
      <c r="B86" s="46" t="s">
        <v>486</v>
      </c>
      <c r="C86" s="157"/>
      <c r="D86" s="23" t="s">
        <v>44</v>
      </c>
      <c r="E86" s="20" t="s">
        <v>14</v>
      </c>
      <c r="F86" s="20" t="s">
        <v>18</v>
      </c>
      <c r="G86" s="20" t="s">
        <v>46</v>
      </c>
      <c r="H86" s="24">
        <v>0</v>
      </c>
      <c r="I86" s="24">
        <v>0</v>
      </c>
      <c r="J86" s="24"/>
      <c r="K86" s="24"/>
      <c r="L86" s="24">
        <f>M86/10*13</f>
        <v>0</v>
      </c>
      <c r="M86" s="24">
        <v>0</v>
      </c>
      <c r="N86" s="24">
        <v>105</v>
      </c>
      <c r="O86" s="24">
        <f t="shared" si="6"/>
        <v>105</v>
      </c>
      <c r="P86" s="215">
        <f t="shared" si="7"/>
        <v>105</v>
      </c>
    </row>
    <row r="87" spans="1:16" ht="15" hidden="1" customHeight="1" outlineLevel="1" x14ac:dyDescent="0.25">
      <c r="A87" s="39" t="s">
        <v>11</v>
      </c>
      <c r="B87" s="46" t="s">
        <v>487</v>
      </c>
      <c r="C87" s="157"/>
      <c r="D87" s="23" t="s">
        <v>44</v>
      </c>
      <c r="E87" s="20" t="s">
        <v>17</v>
      </c>
      <c r="F87" s="20" t="s">
        <v>18</v>
      </c>
      <c r="G87" s="20" t="s">
        <v>46</v>
      </c>
      <c r="H87" s="24">
        <v>0</v>
      </c>
      <c r="I87" s="24">
        <v>0</v>
      </c>
      <c r="J87" s="24">
        <v>295</v>
      </c>
      <c r="K87" s="24">
        <v>295</v>
      </c>
      <c r="L87" s="24">
        <v>319.42</v>
      </c>
      <c r="M87" s="24">
        <v>273.37</v>
      </c>
      <c r="N87" s="24">
        <v>265</v>
      </c>
      <c r="O87" s="24">
        <f t="shared" si="6"/>
        <v>265</v>
      </c>
      <c r="P87" s="215">
        <f t="shared" si="7"/>
        <v>265</v>
      </c>
    </row>
    <row r="88" spans="1:16" ht="15" hidden="1" customHeight="1" outlineLevel="1" x14ac:dyDescent="0.25">
      <c r="A88" s="39" t="s">
        <v>11</v>
      </c>
      <c r="B88" s="46" t="s">
        <v>488</v>
      </c>
      <c r="C88" s="157"/>
      <c r="D88" s="23" t="s">
        <v>44</v>
      </c>
      <c r="E88" s="20" t="s">
        <v>17</v>
      </c>
      <c r="F88" s="20" t="s">
        <v>18</v>
      </c>
      <c r="G88" s="20" t="s">
        <v>46</v>
      </c>
      <c r="H88" s="24">
        <v>0</v>
      </c>
      <c r="I88" s="24">
        <v>0</v>
      </c>
      <c r="J88" s="24">
        <v>292</v>
      </c>
      <c r="K88" s="24">
        <v>292</v>
      </c>
      <c r="L88" s="24">
        <v>222.21</v>
      </c>
      <c r="M88" s="24">
        <v>193.93</v>
      </c>
      <c r="N88" s="24">
        <v>155</v>
      </c>
      <c r="O88" s="24">
        <f t="shared" si="6"/>
        <v>155</v>
      </c>
      <c r="P88" s="215">
        <f t="shared" si="7"/>
        <v>155</v>
      </c>
    </row>
    <row r="89" spans="1:16" ht="15" hidden="1" customHeight="1" outlineLevel="1" x14ac:dyDescent="0.25">
      <c r="A89" s="39" t="s">
        <v>11</v>
      </c>
      <c r="B89" s="46" t="s">
        <v>489</v>
      </c>
      <c r="C89" s="157"/>
      <c r="D89" s="23" t="s">
        <v>44</v>
      </c>
      <c r="E89" s="20" t="s">
        <v>17</v>
      </c>
      <c r="F89" s="20" t="s">
        <v>18</v>
      </c>
      <c r="G89" s="20" t="s">
        <v>46</v>
      </c>
      <c r="H89" s="24">
        <v>0</v>
      </c>
      <c r="I89" s="24">
        <v>0</v>
      </c>
      <c r="J89" s="24">
        <v>327</v>
      </c>
      <c r="K89" s="24">
        <v>327</v>
      </c>
      <c r="L89" s="24">
        <v>333.2</v>
      </c>
      <c r="M89" s="24">
        <v>250.44</v>
      </c>
      <c r="N89" s="24">
        <v>467</v>
      </c>
      <c r="O89" s="24">
        <f t="shared" si="6"/>
        <v>467</v>
      </c>
      <c r="P89" s="215">
        <f t="shared" si="7"/>
        <v>467</v>
      </c>
    </row>
    <row r="90" spans="1:16" ht="15" hidden="1" customHeight="1" outlineLevel="1" x14ac:dyDescent="0.25">
      <c r="A90" s="39" t="s">
        <v>11</v>
      </c>
      <c r="B90" s="46" t="s">
        <v>490</v>
      </c>
      <c r="C90" s="157"/>
      <c r="D90" s="23" t="s">
        <v>44</v>
      </c>
      <c r="E90" s="20" t="s">
        <v>17</v>
      </c>
      <c r="F90" s="20" t="s">
        <v>18</v>
      </c>
      <c r="G90" s="20" t="s">
        <v>46</v>
      </c>
      <c r="H90" s="24">
        <v>0</v>
      </c>
      <c r="I90" s="24">
        <v>0</v>
      </c>
      <c r="J90" s="24">
        <v>195</v>
      </c>
      <c r="K90" s="24">
        <v>195</v>
      </c>
      <c r="L90" s="24">
        <v>0</v>
      </c>
      <c r="M90" s="24">
        <v>0</v>
      </c>
      <c r="N90" s="24">
        <v>0</v>
      </c>
      <c r="O90" s="24">
        <f t="shared" si="6"/>
        <v>0</v>
      </c>
      <c r="P90" s="215">
        <f t="shared" si="7"/>
        <v>0</v>
      </c>
    </row>
    <row r="91" spans="1:16" ht="15" hidden="1" customHeight="1" outlineLevel="1" x14ac:dyDescent="0.25">
      <c r="A91" s="39" t="s">
        <v>11</v>
      </c>
      <c r="B91" s="46" t="s">
        <v>498</v>
      </c>
      <c r="C91" s="157"/>
      <c r="D91" s="23" t="s">
        <v>44</v>
      </c>
      <c r="E91" s="20" t="s">
        <v>17</v>
      </c>
      <c r="F91" s="20" t="s">
        <v>18</v>
      </c>
      <c r="G91" s="20" t="s">
        <v>46</v>
      </c>
      <c r="H91" s="24">
        <v>0</v>
      </c>
      <c r="I91" s="24">
        <v>0</v>
      </c>
      <c r="J91" s="24">
        <v>124</v>
      </c>
      <c r="K91" s="24">
        <v>124</v>
      </c>
      <c r="L91" s="24">
        <v>77.78</v>
      </c>
      <c r="M91" s="24">
        <v>59.69</v>
      </c>
      <c r="N91" s="24">
        <v>102</v>
      </c>
      <c r="O91" s="24">
        <f t="shared" si="6"/>
        <v>102</v>
      </c>
      <c r="P91" s="215">
        <f t="shared" si="7"/>
        <v>102</v>
      </c>
    </row>
    <row r="92" spans="1:16" ht="15" hidden="1" customHeight="1" outlineLevel="1" x14ac:dyDescent="0.25">
      <c r="A92" s="39" t="s">
        <v>11</v>
      </c>
      <c r="B92" s="46" t="s">
        <v>502</v>
      </c>
      <c r="C92" s="157"/>
      <c r="D92" s="23" t="s">
        <v>44</v>
      </c>
      <c r="E92" s="20" t="s">
        <v>17</v>
      </c>
      <c r="F92" s="20" t="s">
        <v>18</v>
      </c>
      <c r="G92" s="20" t="s">
        <v>46</v>
      </c>
      <c r="H92" s="24">
        <v>0</v>
      </c>
      <c r="I92" s="24">
        <v>0</v>
      </c>
      <c r="J92" s="24">
        <v>101</v>
      </c>
      <c r="K92" s="24">
        <v>101</v>
      </c>
      <c r="L92" s="24">
        <v>106.93</v>
      </c>
      <c r="M92" s="24">
        <v>85.42</v>
      </c>
      <c r="N92" s="24">
        <v>120</v>
      </c>
      <c r="O92" s="24">
        <f t="shared" si="6"/>
        <v>120</v>
      </c>
      <c r="P92" s="215">
        <f t="shared" si="7"/>
        <v>120</v>
      </c>
    </row>
    <row r="93" spans="1:16" ht="15" hidden="1" customHeight="1" outlineLevel="1" x14ac:dyDescent="0.25">
      <c r="A93" s="39" t="s">
        <v>11</v>
      </c>
      <c r="B93" s="46" t="s">
        <v>504</v>
      </c>
      <c r="C93" s="157"/>
      <c r="D93" s="23" t="s">
        <v>44</v>
      </c>
      <c r="E93" s="20" t="s">
        <v>17</v>
      </c>
      <c r="F93" s="20" t="s">
        <v>18</v>
      </c>
      <c r="G93" s="20" t="s">
        <v>46</v>
      </c>
      <c r="H93" s="24">
        <v>0</v>
      </c>
      <c r="I93" s="24">
        <v>0</v>
      </c>
      <c r="J93" s="24">
        <v>119</v>
      </c>
      <c r="K93" s="24">
        <v>119</v>
      </c>
      <c r="L93" s="24">
        <v>116.97</v>
      </c>
      <c r="M93" s="24">
        <v>76.97</v>
      </c>
      <c r="N93" s="24">
        <v>219</v>
      </c>
      <c r="O93" s="24">
        <f t="shared" si="6"/>
        <v>219</v>
      </c>
      <c r="P93" s="215">
        <f t="shared" si="7"/>
        <v>219</v>
      </c>
    </row>
    <row r="94" spans="1:16" ht="15" hidden="1" customHeight="1" outlineLevel="1" x14ac:dyDescent="0.25">
      <c r="A94" s="39" t="s">
        <v>11</v>
      </c>
      <c r="B94" s="46" t="s">
        <v>483</v>
      </c>
      <c r="C94" s="157"/>
      <c r="D94" s="23" t="s">
        <v>48</v>
      </c>
      <c r="E94" s="20" t="s">
        <v>17</v>
      </c>
      <c r="F94" s="20" t="s">
        <v>18</v>
      </c>
      <c r="G94" s="20" t="s">
        <v>50</v>
      </c>
      <c r="H94" s="24">
        <v>10654.49</v>
      </c>
      <c r="I94" s="24">
        <v>10986.49</v>
      </c>
      <c r="J94" s="24">
        <v>3174</v>
      </c>
      <c r="K94" s="24">
        <v>3274</v>
      </c>
      <c r="L94" s="24">
        <f>M94/10*12.5</f>
        <v>2065.75</v>
      </c>
      <c r="M94" s="24">
        <v>1652.6</v>
      </c>
      <c r="N94" s="24">
        <v>3520</v>
      </c>
      <c r="O94" s="24">
        <f t="shared" si="6"/>
        <v>3520</v>
      </c>
      <c r="P94" s="215">
        <f t="shared" si="7"/>
        <v>3520</v>
      </c>
    </row>
    <row r="95" spans="1:16" ht="15" hidden="1" customHeight="1" outlineLevel="1" x14ac:dyDescent="0.25">
      <c r="A95" s="39" t="s">
        <v>11</v>
      </c>
      <c r="B95" s="46" t="s">
        <v>486</v>
      </c>
      <c r="C95" s="157"/>
      <c r="D95" s="23" t="s">
        <v>48</v>
      </c>
      <c r="E95" s="20" t="s">
        <v>17</v>
      </c>
      <c r="F95" s="20" t="s">
        <v>18</v>
      </c>
      <c r="G95" s="20" t="s">
        <v>50</v>
      </c>
      <c r="H95" s="24">
        <v>0</v>
      </c>
      <c r="I95" s="24">
        <v>0</v>
      </c>
      <c r="J95" s="24">
        <v>2739</v>
      </c>
      <c r="K95" s="24">
        <v>2539</v>
      </c>
      <c r="L95" s="24">
        <f>M95/10*13</f>
        <v>2408.2239999999997</v>
      </c>
      <c r="M95" s="24">
        <v>1852.48</v>
      </c>
      <c r="N95" s="24">
        <v>3805</v>
      </c>
      <c r="O95" s="24">
        <f t="shared" si="6"/>
        <v>3805</v>
      </c>
      <c r="P95" s="215">
        <f t="shared" si="7"/>
        <v>3805</v>
      </c>
    </row>
    <row r="96" spans="1:16" ht="15" hidden="1" customHeight="1" outlineLevel="1" x14ac:dyDescent="0.25">
      <c r="A96" s="39" t="s">
        <v>11</v>
      </c>
      <c r="B96" s="46" t="s">
        <v>486</v>
      </c>
      <c r="C96" s="157"/>
      <c r="D96" s="23" t="s">
        <v>48</v>
      </c>
      <c r="E96" s="20" t="s">
        <v>14</v>
      </c>
      <c r="F96" s="20" t="s">
        <v>18</v>
      </c>
      <c r="G96" s="20" t="s">
        <v>50</v>
      </c>
      <c r="H96" s="24">
        <v>0</v>
      </c>
      <c r="I96" s="24">
        <v>0</v>
      </c>
      <c r="J96" s="24"/>
      <c r="K96" s="24"/>
      <c r="L96" s="24">
        <f>M96/10*13</f>
        <v>0</v>
      </c>
      <c r="M96" s="24">
        <v>0</v>
      </c>
      <c r="N96" s="24">
        <v>500</v>
      </c>
      <c r="O96" s="24">
        <f t="shared" si="6"/>
        <v>500</v>
      </c>
      <c r="P96" s="215">
        <f t="shared" si="7"/>
        <v>500</v>
      </c>
    </row>
    <row r="97" spans="1:16" ht="15" hidden="1" customHeight="1" outlineLevel="1" x14ac:dyDescent="0.25">
      <c r="A97" s="39" t="s">
        <v>11</v>
      </c>
      <c r="B97" s="46" t="s">
        <v>487</v>
      </c>
      <c r="C97" s="157"/>
      <c r="D97" s="23" t="s">
        <v>48</v>
      </c>
      <c r="E97" s="20" t="s">
        <v>17</v>
      </c>
      <c r="F97" s="20" t="s">
        <v>18</v>
      </c>
      <c r="G97" s="20" t="s">
        <v>50</v>
      </c>
      <c r="H97" s="24">
        <v>0</v>
      </c>
      <c r="I97" s="24">
        <v>0</v>
      </c>
      <c r="J97" s="24">
        <v>1402</v>
      </c>
      <c r="K97" s="24">
        <v>1402</v>
      </c>
      <c r="L97" s="24">
        <v>1417.4974999999999</v>
      </c>
      <c r="M97" s="24">
        <v>1198.76</v>
      </c>
      <c r="N97" s="24">
        <v>1250</v>
      </c>
      <c r="O97" s="24">
        <f t="shared" si="6"/>
        <v>1250</v>
      </c>
      <c r="P97" s="215">
        <f t="shared" si="7"/>
        <v>1250</v>
      </c>
    </row>
    <row r="98" spans="1:16" ht="15" hidden="1" customHeight="1" outlineLevel="1" x14ac:dyDescent="0.25">
      <c r="A98" s="39" t="s">
        <v>11</v>
      </c>
      <c r="B98" s="46" t="s">
        <v>488</v>
      </c>
      <c r="C98" s="157"/>
      <c r="D98" s="23" t="s">
        <v>48</v>
      </c>
      <c r="E98" s="20" t="s">
        <v>17</v>
      </c>
      <c r="F98" s="20" t="s">
        <v>18</v>
      </c>
      <c r="G98" s="20" t="s">
        <v>50</v>
      </c>
      <c r="H98" s="24">
        <v>0</v>
      </c>
      <c r="I98" s="24">
        <v>0</v>
      </c>
      <c r="J98" s="24">
        <v>1387</v>
      </c>
      <c r="K98" s="24">
        <v>1387</v>
      </c>
      <c r="L98" s="24">
        <v>1055.6399999999999</v>
      </c>
      <c r="M98" s="24">
        <v>921.31</v>
      </c>
      <c r="N98" s="24">
        <v>736</v>
      </c>
      <c r="O98" s="24">
        <f t="shared" si="6"/>
        <v>736</v>
      </c>
      <c r="P98" s="215">
        <f t="shared" si="7"/>
        <v>736</v>
      </c>
    </row>
    <row r="99" spans="1:16" ht="15" hidden="1" customHeight="1" outlineLevel="1" x14ac:dyDescent="0.25">
      <c r="A99" s="39" t="s">
        <v>11</v>
      </c>
      <c r="B99" s="46" t="s">
        <v>489</v>
      </c>
      <c r="C99" s="157"/>
      <c r="D99" s="23" t="s">
        <v>48</v>
      </c>
      <c r="E99" s="20" t="s">
        <v>17</v>
      </c>
      <c r="F99" s="20" t="s">
        <v>18</v>
      </c>
      <c r="G99" s="20" t="s">
        <v>50</v>
      </c>
      <c r="H99" s="24">
        <v>0</v>
      </c>
      <c r="I99" s="24">
        <v>0</v>
      </c>
      <c r="J99" s="24">
        <v>1556</v>
      </c>
      <c r="K99" s="24">
        <v>1556</v>
      </c>
      <c r="L99" s="24">
        <v>1606.23</v>
      </c>
      <c r="M99" s="24">
        <v>1213.1199999999999</v>
      </c>
      <c r="N99" s="24">
        <v>2220</v>
      </c>
      <c r="O99" s="24">
        <f t="shared" si="6"/>
        <v>2220</v>
      </c>
      <c r="P99" s="215">
        <f t="shared" si="7"/>
        <v>2220</v>
      </c>
    </row>
    <row r="100" spans="1:16" ht="15" hidden="1" customHeight="1" outlineLevel="1" x14ac:dyDescent="0.25">
      <c r="A100" s="39" t="s">
        <v>11</v>
      </c>
      <c r="B100" s="46" t="s">
        <v>490</v>
      </c>
      <c r="C100" s="157"/>
      <c r="D100" s="23" t="s">
        <v>48</v>
      </c>
      <c r="E100" s="20" t="s">
        <v>17</v>
      </c>
      <c r="F100" s="20" t="s">
        <v>18</v>
      </c>
      <c r="G100" s="20" t="s">
        <v>50</v>
      </c>
      <c r="H100" s="24">
        <v>0</v>
      </c>
      <c r="I100" s="24">
        <v>0</v>
      </c>
      <c r="J100" s="24">
        <v>876</v>
      </c>
      <c r="K100" s="24">
        <v>876</v>
      </c>
      <c r="L100" s="24">
        <v>0</v>
      </c>
      <c r="M100" s="24">
        <v>0</v>
      </c>
      <c r="N100" s="24">
        <v>0</v>
      </c>
      <c r="O100" s="24">
        <f t="shared" si="6"/>
        <v>0</v>
      </c>
      <c r="P100" s="215">
        <f t="shared" si="7"/>
        <v>0</v>
      </c>
    </row>
    <row r="101" spans="1:16" ht="15" hidden="1" customHeight="1" outlineLevel="1" x14ac:dyDescent="0.25">
      <c r="A101" s="39" t="s">
        <v>11</v>
      </c>
      <c r="B101" s="46" t="s">
        <v>498</v>
      </c>
      <c r="C101" s="157"/>
      <c r="D101" s="23" t="s">
        <v>48</v>
      </c>
      <c r="E101" s="20" t="s">
        <v>17</v>
      </c>
      <c r="F101" s="20" t="s">
        <v>18</v>
      </c>
      <c r="G101" s="20" t="s">
        <v>50</v>
      </c>
      <c r="H101" s="24">
        <v>0</v>
      </c>
      <c r="I101" s="24">
        <v>0</v>
      </c>
      <c r="J101" s="24">
        <v>590</v>
      </c>
      <c r="K101" s="24">
        <v>590</v>
      </c>
      <c r="L101" s="24">
        <v>369.58750000000003</v>
      </c>
      <c r="M101" s="24">
        <v>283.66000000000003</v>
      </c>
      <c r="N101" s="24">
        <v>482</v>
      </c>
      <c r="O101" s="24">
        <f t="shared" si="6"/>
        <v>482</v>
      </c>
      <c r="P101" s="215">
        <f t="shared" si="7"/>
        <v>482</v>
      </c>
    </row>
    <row r="102" spans="1:16" ht="15" hidden="1" customHeight="1" outlineLevel="1" x14ac:dyDescent="0.25">
      <c r="A102" s="39" t="s">
        <v>11</v>
      </c>
      <c r="B102" s="46" t="s">
        <v>502</v>
      </c>
      <c r="C102" s="157"/>
      <c r="D102" s="23" t="s">
        <v>48</v>
      </c>
      <c r="E102" s="20" t="s">
        <v>17</v>
      </c>
      <c r="F102" s="20" t="s">
        <v>18</v>
      </c>
      <c r="G102" s="20" t="s">
        <v>50</v>
      </c>
      <c r="H102" s="24">
        <v>0</v>
      </c>
      <c r="I102" s="24">
        <v>0</v>
      </c>
      <c r="J102" s="24">
        <v>481</v>
      </c>
      <c r="K102" s="24">
        <v>481</v>
      </c>
      <c r="L102" s="24">
        <v>507.95249999999999</v>
      </c>
      <c r="M102" s="24">
        <v>405.78</v>
      </c>
      <c r="N102" s="24">
        <v>568</v>
      </c>
      <c r="O102" s="24">
        <f t="shared" si="6"/>
        <v>568</v>
      </c>
      <c r="P102" s="215">
        <f t="shared" si="7"/>
        <v>568</v>
      </c>
    </row>
    <row r="103" spans="1:16" ht="15" hidden="1" customHeight="1" outlineLevel="1" x14ac:dyDescent="0.25">
      <c r="A103" s="39" t="s">
        <v>11</v>
      </c>
      <c r="B103" s="46" t="s">
        <v>504</v>
      </c>
      <c r="C103" s="157"/>
      <c r="D103" s="23" t="s">
        <v>48</v>
      </c>
      <c r="E103" s="20" t="s">
        <v>17</v>
      </c>
      <c r="F103" s="20" t="s">
        <v>18</v>
      </c>
      <c r="G103" s="20" t="s">
        <v>50</v>
      </c>
      <c r="H103" s="24">
        <v>0</v>
      </c>
      <c r="I103" s="24">
        <v>0</v>
      </c>
      <c r="J103" s="24">
        <v>565</v>
      </c>
      <c r="K103" s="24">
        <v>565</v>
      </c>
      <c r="L103" s="24">
        <v>677.32999999999993</v>
      </c>
      <c r="M103" s="24">
        <v>487.33</v>
      </c>
      <c r="N103" s="24">
        <v>1038</v>
      </c>
      <c r="O103" s="24">
        <f t="shared" si="6"/>
        <v>1038</v>
      </c>
      <c r="P103" s="215">
        <f t="shared" si="7"/>
        <v>1038</v>
      </c>
    </row>
    <row r="104" spans="1:16" collapsed="1" x14ac:dyDescent="0.25">
      <c r="A104" s="15"/>
      <c r="B104" s="16"/>
      <c r="C104" s="157"/>
      <c r="D104" s="23" t="s">
        <v>469</v>
      </c>
      <c r="E104" s="20"/>
      <c r="F104" s="20"/>
      <c r="G104" s="39" t="s">
        <v>472</v>
      </c>
      <c r="H104" s="24">
        <v>75764.460000000006</v>
      </c>
      <c r="I104" s="24">
        <v>78221.72</v>
      </c>
      <c r="J104" s="24">
        <f t="shared" ref="J104:P104" si="8">SUM(J19:J103)</f>
        <v>97660</v>
      </c>
      <c r="K104" s="24">
        <f t="shared" si="8"/>
        <v>98610</v>
      </c>
      <c r="L104" s="24">
        <f t="shared" si="8"/>
        <v>74596.657999999981</v>
      </c>
      <c r="M104" s="24">
        <f t="shared" si="8"/>
        <v>59270.620000000024</v>
      </c>
      <c r="N104" s="24">
        <f t="shared" si="8"/>
        <v>106370</v>
      </c>
      <c r="O104" s="24">
        <f t="shared" si="8"/>
        <v>106370</v>
      </c>
      <c r="P104" s="215">
        <f t="shared" si="8"/>
        <v>106370</v>
      </c>
    </row>
    <row r="105" spans="1:16" ht="15" hidden="1" customHeight="1" outlineLevel="1" x14ac:dyDescent="0.25">
      <c r="A105" s="39" t="s">
        <v>11</v>
      </c>
      <c r="B105" s="46" t="s">
        <v>489</v>
      </c>
      <c r="C105" s="157"/>
      <c r="D105" s="47" t="s">
        <v>54</v>
      </c>
      <c r="E105" s="39" t="s">
        <v>17</v>
      </c>
      <c r="F105" s="39" t="s">
        <v>18</v>
      </c>
      <c r="G105" s="39" t="s">
        <v>55</v>
      </c>
      <c r="H105" s="42">
        <v>787.18</v>
      </c>
      <c r="I105" s="42">
        <v>363.12</v>
      </c>
      <c r="J105" s="42">
        <v>500</v>
      </c>
      <c r="K105" s="42">
        <v>500</v>
      </c>
      <c r="L105" s="42">
        <v>410.41200000000003</v>
      </c>
      <c r="M105" s="42">
        <v>342.01</v>
      </c>
      <c r="N105" s="42">
        <v>500</v>
      </c>
      <c r="O105" s="42">
        <f>N105</f>
        <v>500</v>
      </c>
      <c r="P105" s="203">
        <f>N105</f>
        <v>500</v>
      </c>
    </row>
    <row r="106" spans="1:16" collapsed="1" x14ac:dyDescent="0.25">
      <c r="A106" s="20"/>
      <c r="B106" s="21"/>
      <c r="C106" s="157"/>
      <c r="D106" s="23" t="s">
        <v>480</v>
      </c>
      <c r="E106" s="20"/>
      <c r="F106" s="20"/>
      <c r="G106" s="20" t="s">
        <v>55</v>
      </c>
      <c r="H106" s="24">
        <v>393.59</v>
      </c>
      <c r="I106" s="24">
        <f t="shared" ref="I106:P106" si="9">SUM(I105)</f>
        <v>363.12</v>
      </c>
      <c r="J106" s="24">
        <f t="shared" si="9"/>
        <v>500</v>
      </c>
      <c r="K106" s="24">
        <f t="shared" si="9"/>
        <v>500</v>
      </c>
      <c r="L106" s="24">
        <f t="shared" si="9"/>
        <v>410.41200000000003</v>
      </c>
      <c r="M106" s="24">
        <f t="shared" si="9"/>
        <v>342.01</v>
      </c>
      <c r="N106" s="24">
        <f t="shared" si="9"/>
        <v>500</v>
      </c>
      <c r="O106" s="24">
        <f t="shared" si="9"/>
        <v>500</v>
      </c>
      <c r="P106" s="215">
        <f t="shared" si="9"/>
        <v>500</v>
      </c>
    </row>
    <row r="107" spans="1:16" ht="15" hidden="1" customHeight="1" outlineLevel="1" x14ac:dyDescent="0.25">
      <c r="A107" s="20" t="s">
        <v>11</v>
      </c>
      <c r="B107" s="21" t="s">
        <v>495</v>
      </c>
      <c r="C107" s="157"/>
      <c r="D107" s="23" t="s">
        <v>56</v>
      </c>
      <c r="E107" s="20" t="s">
        <v>17</v>
      </c>
      <c r="F107" s="20" t="s">
        <v>18</v>
      </c>
      <c r="G107" s="20" t="s">
        <v>57</v>
      </c>
      <c r="H107" s="24">
        <v>49998.74</v>
      </c>
      <c r="I107" s="24">
        <v>13567.94</v>
      </c>
      <c r="J107" s="24">
        <v>4000</v>
      </c>
      <c r="K107" s="24">
        <v>3300</v>
      </c>
      <c r="L107" s="24">
        <f t="shared" ref="L107:L112" si="10">M107/10*12</f>
        <v>3164.2679999999996</v>
      </c>
      <c r="M107" s="24">
        <v>2636.89</v>
      </c>
      <c r="N107" s="24">
        <v>4000</v>
      </c>
      <c r="O107" s="24">
        <f t="shared" ref="O107:O112" si="11">N107</f>
        <v>4000</v>
      </c>
      <c r="P107" s="215">
        <f t="shared" ref="P107:P112" si="12">N107</f>
        <v>4000</v>
      </c>
    </row>
    <row r="108" spans="1:16" ht="15" hidden="1" customHeight="1" outlineLevel="1" x14ac:dyDescent="0.25">
      <c r="A108" s="20" t="s">
        <v>11</v>
      </c>
      <c r="B108" s="21" t="s">
        <v>495</v>
      </c>
      <c r="C108" s="157"/>
      <c r="D108" s="23" t="s">
        <v>56</v>
      </c>
      <c r="E108" s="20" t="s">
        <v>17</v>
      </c>
      <c r="F108" s="20" t="s">
        <v>18</v>
      </c>
      <c r="G108" s="20" t="s">
        <v>58</v>
      </c>
      <c r="H108" s="24">
        <v>0</v>
      </c>
      <c r="I108" s="24">
        <v>0</v>
      </c>
      <c r="J108" s="24">
        <v>4000</v>
      </c>
      <c r="K108" s="24">
        <v>6020</v>
      </c>
      <c r="L108" s="24">
        <f t="shared" si="10"/>
        <v>7714.02</v>
      </c>
      <c r="M108" s="24">
        <v>6428.35</v>
      </c>
      <c r="N108" s="24">
        <v>8000</v>
      </c>
      <c r="O108" s="24">
        <f t="shared" si="11"/>
        <v>8000</v>
      </c>
      <c r="P108" s="215">
        <f t="shared" si="12"/>
        <v>8000</v>
      </c>
    </row>
    <row r="109" spans="1:16" ht="15" hidden="1" customHeight="1" outlineLevel="1" x14ac:dyDescent="0.25">
      <c r="A109" s="20" t="s">
        <v>11</v>
      </c>
      <c r="B109" s="21" t="s">
        <v>495</v>
      </c>
      <c r="C109" s="157"/>
      <c r="D109" s="23" t="s">
        <v>65</v>
      </c>
      <c r="E109" s="20" t="s">
        <v>17</v>
      </c>
      <c r="F109" s="20" t="s">
        <v>18</v>
      </c>
      <c r="G109" s="20" t="s">
        <v>66</v>
      </c>
      <c r="H109" s="24">
        <v>3326.84</v>
      </c>
      <c r="I109" s="24">
        <v>10825.62</v>
      </c>
      <c r="J109" s="24">
        <v>11000</v>
      </c>
      <c r="K109" s="24">
        <v>10600</v>
      </c>
      <c r="L109" s="24">
        <f t="shared" si="10"/>
        <v>14853.491999999998</v>
      </c>
      <c r="M109" s="24">
        <v>12377.91</v>
      </c>
      <c r="N109" s="24">
        <v>15000</v>
      </c>
      <c r="O109" s="24">
        <f t="shared" si="11"/>
        <v>15000</v>
      </c>
      <c r="P109" s="215">
        <f t="shared" si="12"/>
        <v>15000</v>
      </c>
    </row>
    <row r="110" spans="1:16" ht="15" hidden="1" customHeight="1" outlineLevel="1" x14ac:dyDescent="0.25">
      <c r="A110" s="20" t="s">
        <v>11</v>
      </c>
      <c r="B110" s="21" t="s">
        <v>495</v>
      </c>
      <c r="C110" s="157"/>
      <c r="D110" s="23" t="s">
        <v>69</v>
      </c>
      <c r="E110" s="20" t="s">
        <v>17</v>
      </c>
      <c r="F110" s="20" t="s">
        <v>18</v>
      </c>
      <c r="G110" s="20" t="s">
        <v>71</v>
      </c>
      <c r="H110" s="24">
        <v>5105.55</v>
      </c>
      <c r="I110" s="24">
        <v>5196.8500000000004</v>
      </c>
      <c r="J110" s="24">
        <v>5600</v>
      </c>
      <c r="K110" s="24">
        <v>4110</v>
      </c>
      <c r="L110" s="24">
        <f t="shared" si="10"/>
        <v>4515.8760000000002</v>
      </c>
      <c r="M110" s="24">
        <v>3763.23</v>
      </c>
      <c r="N110" s="24">
        <v>4500</v>
      </c>
      <c r="O110" s="24">
        <f t="shared" si="11"/>
        <v>4500</v>
      </c>
      <c r="P110" s="215">
        <f t="shared" si="12"/>
        <v>4500</v>
      </c>
    </row>
    <row r="111" spans="1:16" ht="15" hidden="1" customHeight="1" outlineLevel="1" x14ac:dyDescent="0.25">
      <c r="A111" s="20" t="s">
        <v>11</v>
      </c>
      <c r="B111" s="21" t="s">
        <v>495</v>
      </c>
      <c r="C111" s="157"/>
      <c r="D111" s="23" t="s">
        <v>72</v>
      </c>
      <c r="E111" s="20" t="s">
        <v>17</v>
      </c>
      <c r="F111" s="20" t="s">
        <v>18</v>
      </c>
      <c r="G111" s="20" t="s">
        <v>73</v>
      </c>
      <c r="H111" s="24">
        <v>1086.5999999999999</v>
      </c>
      <c r="I111" s="24">
        <v>4103.0600000000004</v>
      </c>
      <c r="J111" s="24">
        <v>1400</v>
      </c>
      <c r="K111" s="24">
        <v>2200</v>
      </c>
      <c r="L111" s="24">
        <f t="shared" si="10"/>
        <v>2644.5600000000004</v>
      </c>
      <c r="M111" s="24">
        <v>2203.8000000000002</v>
      </c>
      <c r="N111" s="24">
        <v>2700</v>
      </c>
      <c r="O111" s="24">
        <f t="shared" si="11"/>
        <v>2700</v>
      </c>
      <c r="P111" s="215">
        <f t="shared" si="12"/>
        <v>2700</v>
      </c>
    </row>
    <row r="112" spans="1:16" ht="15" hidden="1" customHeight="1" outlineLevel="1" x14ac:dyDescent="0.25">
      <c r="A112" s="20" t="s">
        <v>11</v>
      </c>
      <c r="B112" s="21" t="s">
        <v>495</v>
      </c>
      <c r="C112" s="157"/>
      <c r="D112" s="23" t="s">
        <v>74</v>
      </c>
      <c r="E112" s="20" t="s">
        <v>17</v>
      </c>
      <c r="F112" s="20" t="s">
        <v>18</v>
      </c>
      <c r="G112" s="20" t="s">
        <v>76</v>
      </c>
      <c r="H112" s="24">
        <v>3387.74</v>
      </c>
      <c r="I112" s="24">
        <v>3272.39</v>
      </c>
      <c r="J112" s="24">
        <v>3500</v>
      </c>
      <c r="K112" s="24">
        <v>3300</v>
      </c>
      <c r="L112" s="24">
        <f t="shared" si="10"/>
        <v>3168.5639999999994</v>
      </c>
      <c r="M112" s="24">
        <v>2640.47</v>
      </c>
      <c r="N112" s="24">
        <v>3500</v>
      </c>
      <c r="O112" s="24">
        <f t="shared" si="11"/>
        <v>3500</v>
      </c>
      <c r="P112" s="215">
        <f t="shared" si="12"/>
        <v>3500</v>
      </c>
    </row>
    <row r="113" spans="1:16" collapsed="1" x14ac:dyDescent="0.25">
      <c r="A113" s="20"/>
      <c r="B113" s="21"/>
      <c r="C113" s="157"/>
      <c r="D113" s="23" t="s">
        <v>481</v>
      </c>
      <c r="E113" s="20"/>
      <c r="F113" s="20"/>
      <c r="G113" s="20" t="s">
        <v>594</v>
      </c>
      <c r="H113" s="24">
        <v>25598.48</v>
      </c>
      <c r="I113" s="24">
        <v>28213.31</v>
      </c>
      <c r="J113" s="24">
        <f t="shared" ref="J113:P113" si="13">SUM(J107:J112)</f>
        <v>29500</v>
      </c>
      <c r="K113" s="24">
        <f t="shared" si="13"/>
        <v>29530</v>
      </c>
      <c r="L113" s="24">
        <f t="shared" si="13"/>
        <v>36060.78</v>
      </c>
      <c r="M113" s="24">
        <f t="shared" si="13"/>
        <v>30050.65</v>
      </c>
      <c r="N113" s="24">
        <f t="shared" si="13"/>
        <v>37700</v>
      </c>
      <c r="O113" s="24">
        <f t="shared" si="13"/>
        <v>37700</v>
      </c>
      <c r="P113" s="215">
        <f t="shared" si="13"/>
        <v>37700</v>
      </c>
    </row>
    <row r="114" spans="1:16" ht="15" hidden="1" customHeight="1" outlineLevel="1" x14ac:dyDescent="0.25">
      <c r="A114" s="20" t="s">
        <v>11</v>
      </c>
      <c r="B114" s="21" t="s">
        <v>496</v>
      </c>
      <c r="C114" s="157"/>
      <c r="D114" s="23" t="s">
        <v>77</v>
      </c>
      <c r="E114" s="20" t="s">
        <v>17</v>
      </c>
      <c r="F114" s="20" t="s">
        <v>18</v>
      </c>
      <c r="G114" s="20" t="s">
        <v>79</v>
      </c>
      <c r="H114" s="24">
        <v>513.25</v>
      </c>
      <c r="I114" s="24">
        <v>1615.46</v>
      </c>
      <c r="J114" s="24">
        <v>1500</v>
      </c>
      <c r="K114" s="24">
        <v>1650</v>
      </c>
      <c r="L114" s="24">
        <f>M114</f>
        <v>1622.15</v>
      </c>
      <c r="M114" s="24">
        <v>1622.15</v>
      </c>
      <c r="N114" s="24">
        <v>2000</v>
      </c>
      <c r="O114" s="24">
        <f t="shared" ref="O114:O130" si="14">N114</f>
        <v>2000</v>
      </c>
      <c r="P114" s="215">
        <f t="shared" ref="P114:P130" si="15">N114</f>
        <v>2000</v>
      </c>
    </row>
    <row r="115" spans="1:16" ht="15" hidden="1" customHeight="1" outlineLevel="1" x14ac:dyDescent="0.25">
      <c r="A115" s="20" t="s">
        <v>11</v>
      </c>
      <c r="B115" s="21" t="s">
        <v>496</v>
      </c>
      <c r="C115" s="157"/>
      <c r="D115" s="23" t="s">
        <v>80</v>
      </c>
      <c r="E115" s="20" t="s">
        <v>17</v>
      </c>
      <c r="F115" s="20" t="s">
        <v>18</v>
      </c>
      <c r="G115" s="39" t="s">
        <v>81</v>
      </c>
      <c r="H115" s="42">
        <v>5780.44</v>
      </c>
      <c r="I115" s="42">
        <v>1965.1</v>
      </c>
      <c r="J115" s="42">
        <v>3000</v>
      </c>
      <c r="K115" s="42">
        <v>3250</v>
      </c>
      <c r="L115" s="42">
        <v>3500</v>
      </c>
      <c r="M115" s="42">
        <v>3228.14</v>
      </c>
      <c r="N115" s="42">
        <v>4000</v>
      </c>
      <c r="O115" s="42">
        <f t="shared" si="14"/>
        <v>4000</v>
      </c>
      <c r="P115" s="203">
        <f t="shared" si="15"/>
        <v>4000</v>
      </c>
    </row>
    <row r="116" spans="1:16" ht="15" hidden="1" customHeight="1" outlineLevel="1" x14ac:dyDescent="0.25">
      <c r="A116" s="20" t="s">
        <v>11</v>
      </c>
      <c r="B116" s="21" t="s">
        <v>496</v>
      </c>
      <c r="C116" s="157"/>
      <c r="D116" s="23" t="s">
        <v>82</v>
      </c>
      <c r="E116" s="20" t="s">
        <v>17</v>
      </c>
      <c r="F116" s="20" t="s">
        <v>18</v>
      </c>
      <c r="G116" s="39" t="s">
        <v>83</v>
      </c>
      <c r="H116" s="42">
        <v>734.54</v>
      </c>
      <c r="I116" s="42">
        <v>0</v>
      </c>
      <c r="J116" s="42">
        <v>500</v>
      </c>
      <c r="K116" s="42">
        <v>2000</v>
      </c>
      <c r="L116" s="42">
        <f>M116</f>
        <v>1972.96</v>
      </c>
      <c r="M116" s="42">
        <v>1972.96</v>
      </c>
      <c r="N116" s="42">
        <v>3000</v>
      </c>
      <c r="O116" s="42">
        <f>N116</f>
        <v>3000</v>
      </c>
      <c r="P116" s="203">
        <f>N116</f>
        <v>3000</v>
      </c>
    </row>
    <row r="117" spans="1:16" ht="15" hidden="1" customHeight="1" outlineLevel="1" x14ac:dyDescent="0.25">
      <c r="A117" s="20" t="s">
        <v>11</v>
      </c>
      <c r="B117" s="21" t="s">
        <v>496</v>
      </c>
      <c r="C117" s="157"/>
      <c r="D117" s="23" t="s">
        <v>84</v>
      </c>
      <c r="E117" s="20" t="s">
        <v>17</v>
      </c>
      <c r="F117" s="20" t="s">
        <v>18</v>
      </c>
      <c r="G117" s="20" t="s">
        <v>85</v>
      </c>
      <c r="H117" s="24">
        <v>5765.7</v>
      </c>
      <c r="I117" s="24">
        <v>0</v>
      </c>
      <c r="J117" s="24">
        <v>1500</v>
      </c>
      <c r="K117" s="24">
        <v>4900</v>
      </c>
      <c r="L117" s="24">
        <f>M117</f>
        <v>4803.05</v>
      </c>
      <c r="M117" s="24">
        <v>4803.05</v>
      </c>
      <c r="N117" s="24">
        <v>4500</v>
      </c>
      <c r="O117" s="24">
        <f t="shared" si="14"/>
        <v>4500</v>
      </c>
      <c r="P117" s="215">
        <f t="shared" si="15"/>
        <v>4500</v>
      </c>
    </row>
    <row r="118" spans="1:16" ht="15" hidden="1" customHeight="1" outlineLevel="1" x14ac:dyDescent="0.25">
      <c r="A118" s="20" t="s">
        <v>11</v>
      </c>
      <c r="B118" s="21" t="s">
        <v>486</v>
      </c>
      <c r="C118" s="157"/>
      <c r="D118" s="23" t="s">
        <v>86</v>
      </c>
      <c r="E118" s="20" t="s">
        <v>17</v>
      </c>
      <c r="F118" s="20" t="s">
        <v>18</v>
      </c>
      <c r="G118" s="20" t="s">
        <v>87</v>
      </c>
      <c r="H118" s="24">
        <v>0</v>
      </c>
      <c r="I118" s="24">
        <v>0</v>
      </c>
      <c r="J118" s="24">
        <v>0</v>
      </c>
      <c r="K118" s="24">
        <v>510</v>
      </c>
      <c r="L118" s="24">
        <f>M118</f>
        <v>510</v>
      </c>
      <c r="M118" s="24">
        <v>510</v>
      </c>
      <c r="N118" s="24">
        <v>500</v>
      </c>
      <c r="O118" s="24">
        <f t="shared" si="14"/>
        <v>500</v>
      </c>
      <c r="P118" s="215">
        <f t="shared" si="15"/>
        <v>500</v>
      </c>
    </row>
    <row r="119" spans="1:16" ht="15" hidden="1" customHeight="1" outlineLevel="1" x14ac:dyDescent="0.25">
      <c r="A119" s="20" t="s">
        <v>11</v>
      </c>
      <c r="B119" s="21" t="s">
        <v>486</v>
      </c>
      <c r="C119" s="157"/>
      <c r="D119" s="23" t="s">
        <v>88</v>
      </c>
      <c r="E119" s="20" t="s">
        <v>14</v>
      </c>
      <c r="F119" s="20" t="s">
        <v>18</v>
      </c>
      <c r="G119" s="20" t="s">
        <v>89</v>
      </c>
      <c r="H119" s="24">
        <v>1208.19</v>
      </c>
      <c r="I119" s="24">
        <v>518.88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f t="shared" si="14"/>
        <v>0</v>
      </c>
      <c r="P119" s="215">
        <f t="shared" si="15"/>
        <v>0</v>
      </c>
    </row>
    <row r="120" spans="1:16" ht="15" hidden="1" customHeight="1" outlineLevel="1" x14ac:dyDescent="0.25">
      <c r="A120" s="20" t="s">
        <v>11</v>
      </c>
      <c r="B120" s="21" t="s">
        <v>489</v>
      </c>
      <c r="C120" s="157"/>
      <c r="D120" s="23" t="s">
        <v>88</v>
      </c>
      <c r="E120" s="20" t="s">
        <v>17</v>
      </c>
      <c r="F120" s="20" t="s">
        <v>18</v>
      </c>
      <c r="G120" s="20" t="s">
        <v>93</v>
      </c>
      <c r="H120" s="24">
        <v>0</v>
      </c>
      <c r="I120" s="24">
        <v>0</v>
      </c>
      <c r="J120" s="24">
        <v>1000</v>
      </c>
      <c r="K120" s="24">
        <v>1000</v>
      </c>
      <c r="L120" s="24">
        <v>329.86799999999994</v>
      </c>
      <c r="M120" s="24">
        <v>274.89</v>
      </c>
      <c r="N120" s="24">
        <v>800</v>
      </c>
      <c r="O120" s="24">
        <f t="shared" si="14"/>
        <v>800</v>
      </c>
      <c r="P120" s="215">
        <f t="shared" si="15"/>
        <v>800</v>
      </c>
    </row>
    <row r="121" spans="1:16" ht="15" hidden="1" customHeight="1" outlineLevel="1" x14ac:dyDescent="0.25">
      <c r="A121" s="20" t="s">
        <v>11</v>
      </c>
      <c r="B121" s="21" t="s">
        <v>489</v>
      </c>
      <c r="C121" s="157"/>
      <c r="D121" s="23" t="s">
        <v>88</v>
      </c>
      <c r="E121" s="20" t="s">
        <v>17</v>
      </c>
      <c r="F121" s="20" t="s">
        <v>18</v>
      </c>
      <c r="G121" s="20" t="s">
        <v>94</v>
      </c>
      <c r="H121" s="24">
        <v>0</v>
      </c>
      <c r="I121" s="24">
        <v>0</v>
      </c>
      <c r="J121" s="24">
        <v>3900</v>
      </c>
      <c r="K121" s="24">
        <v>3900</v>
      </c>
      <c r="L121" s="24">
        <v>4843.3559999999998</v>
      </c>
      <c r="M121" s="24">
        <v>4036.13</v>
      </c>
      <c r="N121" s="24">
        <v>5000</v>
      </c>
      <c r="O121" s="24">
        <f t="shared" si="14"/>
        <v>5000</v>
      </c>
      <c r="P121" s="215">
        <f t="shared" si="15"/>
        <v>5000</v>
      </c>
    </row>
    <row r="122" spans="1:16" ht="15" hidden="1" customHeight="1" outlineLevel="1" x14ac:dyDescent="0.25">
      <c r="A122" s="20" t="s">
        <v>11</v>
      </c>
      <c r="B122" s="21" t="s">
        <v>489</v>
      </c>
      <c r="C122" s="157"/>
      <c r="D122" s="23" t="s">
        <v>88</v>
      </c>
      <c r="E122" s="20" t="s">
        <v>17</v>
      </c>
      <c r="F122" s="20" t="s">
        <v>18</v>
      </c>
      <c r="G122" s="20" t="s">
        <v>92</v>
      </c>
      <c r="H122" s="24">
        <v>0</v>
      </c>
      <c r="I122" s="24">
        <v>0</v>
      </c>
      <c r="J122" s="24">
        <v>13000</v>
      </c>
      <c r="K122" s="24">
        <v>19717.09</v>
      </c>
      <c r="L122" s="24">
        <v>22000</v>
      </c>
      <c r="M122" s="24">
        <v>21409.24</v>
      </c>
      <c r="N122" s="24">
        <v>20000</v>
      </c>
      <c r="O122" s="24">
        <f t="shared" si="14"/>
        <v>20000</v>
      </c>
      <c r="P122" s="215">
        <f t="shared" si="15"/>
        <v>20000</v>
      </c>
    </row>
    <row r="123" spans="1:16" ht="15" hidden="1" customHeight="1" outlineLevel="1" x14ac:dyDescent="0.25">
      <c r="A123" s="20" t="s">
        <v>11</v>
      </c>
      <c r="B123" s="21" t="s">
        <v>536</v>
      </c>
      <c r="C123" s="157"/>
      <c r="D123" s="23" t="s">
        <v>88</v>
      </c>
      <c r="E123" s="20" t="s">
        <v>17</v>
      </c>
      <c r="F123" s="20" t="s">
        <v>18</v>
      </c>
      <c r="G123" s="20" t="s">
        <v>92</v>
      </c>
      <c r="H123" s="24">
        <v>0</v>
      </c>
      <c r="I123" s="24">
        <v>0</v>
      </c>
      <c r="J123" s="24">
        <v>3000</v>
      </c>
      <c r="K123" s="24">
        <v>2500</v>
      </c>
      <c r="L123" s="24">
        <v>500</v>
      </c>
      <c r="M123" s="24">
        <v>88</v>
      </c>
      <c r="N123" s="24">
        <v>3000</v>
      </c>
      <c r="O123" s="24">
        <f t="shared" si="14"/>
        <v>3000</v>
      </c>
      <c r="P123" s="215">
        <f t="shared" si="15"/>
        <v>3000</v>
      </c>
    </row>
    <row r="124" spans="1:16" ht="15" hidden="1" customHeight="1" outlineLevel="1" x14ac:dyDescent="0.25">
      <c r="A124" s="20" t="s">
        <v>11</v>
      </c>
      <c r="B124" s="21" t="s">
        <v>580</v>
      </c>
      <c r="C124" s="157"/>
      <c r="D124" s="23" t="s">
        <v>99</v>
      </c>
      <c r="E124" s="20" t="s">
        <v>17</v>
      </c>
      <c r="F124" s="20" t="s">
        <v>18</v>
      </c>
      <c r="G124" s="20" t="s">
        <v>100</v>
      </c>
      <c r="H124" s="24">
        <v>0</v>
      </c>
      <c r="I124" s="24">
        <v>0</v>
      </c>
      <c r="J124" s="24">
        <v>0</v>
      </c>
      <c r="K124" s="24">
        <v>300</v>
      </c>
      <c r="L124" s="24">
        <v>300</v>
      </c>
      <c r="M124" s="24">
        <v>215.2</v>
      </c>
      <c r="N124" s="24">
        <v>300</v>
      </c>
      <c r="O124" s="24">
        <f t="shared" si="14"/>
        <v>300</v>
      </c>
      <c r="P124" s="215">
        <f t="shared" si="15"/>
        <v>300</v>
      </c>
    </row>
    <row r="125" spans="1:16" ht="15" hidden="1" customHeight="1" outlineLevel="1" x14ac:dyDescent="0.25">
      <c r="A125" s="20" t="s">
        <v>11</v>
      </c>
      <c r="B125" s="21" t="s">
        <v>489</v>
      </c>
      <c r="C125" s="157"/>
      <c r="D125" s="23" t="s">
        <v>101</v>
      </c>
      <c r="E125" s="20" t="s">
        <v>17</v>
      </c>
      <c r="F125" s="20" t="s">
        <v>18</v>
      </c>
      <c r="G125" s="20" t="s">
        <v>102</v>
      </c>
      <c r="H125" s="24">
        <v>2142.16</v>
      </c>
      <c r="I125" s="24">
        <v>1926.8</v>
      </c>
      <c r="J125" s="24">
        <v>2000</v>
      </c>
      <c r="K125" s="24">
        <v>1948</v>
      </c>
      <c r="L125" s="24">
        <v>578.26800000000003</v>
      </c>
      <c r="M125" s="24">
        <v>481.89</v>
      </c>
      <c r="N125" s="24">
        <v>800</v>
      </c>
      <c r="O125" s="24">
        <f t="shared" si="14"/>
        <v>800</v>
      </c>
      <c r="P125" s="215">
        <f t="shared" si="15"/>
        <v>800</v>
      </c>
    </row>
    <row r="126" spans="1:16" ht="15" hidden="1" customHeight="1" outlineLevel="1" x14ac:dyDescent="0.25">
      <c r="A126" s="20" t="s">
        <v>11</v>
      </c>
      <c r="B126" s="21" t="s">
        <v>494</v>
      </c>
      <c r="C126" s="157"/>
      <c r="D126" s="23" t="s">
        <v>101</v>
      </c>
      <c r="E126" s="20" t="s">
        <v>17</v>
      </c>
      <c r="F126" s="20" t="s">
        <v>18</v>
      </c>
      <c r="G126" s="20" t="s">
        <v>102</v>
      </c>
      <c r="H126" s="24">
        <v>0</v>
      </c>
      <c r="I126" s="24">
        <v>0</v>
      </c>
      <c r="J126" s="24">
        <v>0</v>
      </c>
      <c r="K126" s="24">
        <v>52</v>
      </c>
      <c r="L126" s="24">
        <f>M126</f>
        <v>52</v>
      </c>
      <c r="M126" s="24">
        <v>52</v>
      </c>
      <c r="N126" s="24">
        <v>100</v>
      </c>
      <c r="O126" s="24">
        <f t="shared" si="14"/>
        <v>100</v>
      </c>
      <c r="P126" s="215">
        <f t="shared" si="15"/>
        <v>100</v>
      </c>
    </row>
    <row r="127" spans="1:16" ht="15" hidden="1" customHeight="1" outlineLevel="1" x14ac:dyDescent="0.25">
      <c r="A127" s="20" t="s">
        <v>11</v>
      </c>
      <c r="B127" s="21" t="s">
        <v>486</v>
      </c>
      <c r="C127" s="157"/>
      <c r="D127" s="23" t="s">
        <v>103</v>
      </c>
      <c r="E127" s="20" t="s">
        <v>17</v>
      </c>
      <c r="F127" s="20" t="s">
        <v>18</v>
      </c>
      <c r="G127" s="20" t="s">
        <v>104</v>
      </c>
      <c r="H127" s="24">
        <v>932.5</v>
      </c>
      <c r="I127" s="24">
        <v>869.89</v>
      </c>
      <c r="J127" s="24">
        <v>250</v>
      </c>
      <c r="K127" s="24">
        <v>310</v>
      </c>
      <c r="L127" s="24">
        <v>309.26</v>
      </c>
      <c r="M127" s="24">
        <v>309.26</v>
      </c>
      <c r="N127" s="24">
        <v>200</v>
      </c>
      <c r="O127" s="24">
        <f t="shared" si="14"/>
        <v>200</v>
      </c>
      <c r="P127" s="215">
        <f t="shared" si="15"/>
        <v>200</v>
      </c>
    </row>
    <row r="128" spans="1:16" ht="15" hidden="1" customHeight="1" outlineLevel="1" x14ac:dyDescent="0.25">
      <c r="A128" s="20" t="s">
        <v>11</v>
      </c>
      <c r="B128" s="21" t="s">
        <v>487</v>
      </c>
      <c r="C128" s="157"/>
      <c r="D128" s="23" t="s">
        <v>103</v>
      </c>
      <c r="E128" s="20" t="s">
        <v>17</v>
      </c>
      <c r="F128" s="20" t="s">
        <v>18</v>
      </c>
      <c r="G128" s="20" t="s">
        <v>104</v>
      </c>
      <c r="H128" s="24">
        <v>0</v>
      </c>
      <c r="I128" s="24">
        <v>0</v>
      </c>
      <c r="J128" s="24">
        <v>100</v>
      </c>
      <c r="K128" s="24">
        <v>100</v>
      </c>
      <c r="L128" s="24">
        <v>65</v>
      </c>
      <c r="M128" s="24">
        <v>35.28</v>
      </c>
      <c r="N128" s="24">
        <v>100</v>
      </c>
      <c r="O128" s="24">
        <f t="shared" si="14"/>
        <v>100</v>
      </c>
      <c r="P128" s="215">
        <f t="shared" si="15"/>
        <v>100</v>
      </c>
    </row>
    <row r="129" spans="1:16" ht="15" hidden="1" customHeight="1" outlineLevel="1" x14ac:dyDescent="0.25">
      <c r="A129" s="20" t="s">
        <v>11</v>
      </c>
      <c r="B129" s="21" t="s">
        <v>498</v>
      </c>
      <c r="C129" s="157"/>
      <c r="D129" s="23" t="s">
        <v>105</v>
      </c>
      <c r="E129" s="20" t="s">
        <v>17</v>
      </c>
      <c r="F129" s="20" t="s">
        <v>18</v>
      </c>
      <c r="G129" s="20" t="s">
        <v>106</v>
      </c>
      <c r="H129" s="24">
        <v>3985.03</v>
      </c>
      <c r="I129" s="24">
        <v>2804.5</v>
      </c>
      <c r="J129" s="24">
        <v>4500</v>
      </c>
      <c r="K129" s="24">
        <v>4500</v>
      </c>
      <c r="L129" s="24">
        <v>3000</v>
      </c>
      <c r="M129" s="24">
        <v>2876.38</v>
      </c>
      <c r="N129" s="24">
        <v>3500</v>
      </c>
      <c r="O129" s="24">
        <f t="shared" si="14"/>
        <v>3500</v>
      </c>
      <c r="P129" s="215">
        <f t="shared" si="15"/>
        <v>3500</v>
      </c>
    </row>
    <row r="130" spans="1:16" ht="15" hidden="1" customHeight="1" outlineLevel="1" x14ac:dyDescent="0.25">
      <c r="A130" s="20" t="s">
        <v>11</v>
      </c>
      <c r="B130" s="21" t="s">
        <v>483</v>
      </c>
      <c r="C130" s="157"/>
      <c r="D130" s="23" t="s">
        <v>107</v>
      </c>
      <c r="E130" s="20" t="s">
        <v>17</v>
      </c>
      <c r="F130" s="20" t="s">
        <v>18</v>
      </c>
      <c r="G130" s="20" t="s">
        <v>108</v>
      </c>
      <c r="H130" s="24">
        <v>3591.18</v>
      </c>
      <c r="I130" s="24">
        <v>4703.8500000000004</v>
      </c>
      <c r="J130" s="24">
        <v>3500</v>
      </c>
      <c r="K130" s="24">
        <v>4400</v>
      </c>
      <c r="L130" s="24">
        <v>5400</v>
      </c>
      <c r="M130" s="24">
        <v>4892.04</v>
      </c>
      <c r="N130" s="24">
        <v>4000</v>
      </c>
      <c r="O130" s="24">
        <f t="shared" si="14"/>
        <v>4000</v>
      </c>
      <c r="P130" s="215">
        <f t="shared" si="15"/>
        <v>4000</v>
      </c>
    </row>
    <row r="131" spans="1:16" collapsed="1" x14ac:dyDescent="0.25">
      <c r="A131" s="20"/>
      <c r="B131" s="21"/>
      <c r="C131" s="157"/>
      <c r="D131" s="23" t="s">
        <v>470</v>
      </c>
      <c r="E131" s="20"/>
      <c r="F131" s="20"/>
      <c r="G131" s="20" t="s">
        <v>471</v>
      </c>
      <c r="H131" s="24">
        <v>44156.5</v>
      </c>
      <c r="I131" s="24">
        <v>37483.25</v>
      </c>
      <c r="J131" s="24">
        <f t="shared" ref="J131:P131" si="16">SUM(J114:J130)</f>
        <v>37750</v>
      </c>
      <c r="K131" s="24">
        <f t="shared" si="16"/>
        <v>51037.09</v>
      </c>
      <c r="L131" s="24">
        <f t="shared" si="16"/>
        <v>49785.912000000004</v>
      </c>
      <c r="M131" s="24">
        <f t="shared" si="16"/>
        <v>46806.609999999993</v>
      </c>
      <c r="N131" s="24">
        <f t="shared" si="16"/>
        <v>51800</v>
      </c>
      <c r="O131" s="24">
        <f t="shared" si="16"/>
        <v>51800</v>
      </c>
      <c r="P131" s="215">
        <f t="shared" si="16"/>
        <v>51800</v>
      </c>
    </row>
    <row r="132" spans="1:16" ht="15" hidden="1" customHeight="1" outlineLevel="1" x14ac:dyDescent="0.25">
      <c r="A132" s="20" t="s">
        <v>11</v>
      </c>
      <c r="B132" s="21" t="s">
        <v>496</v>
      </c>
      <c r="C132" s="157"/>
      <c r="D132" s="23" t="s">
        <v>110</v>
      </c>
      <c r="E132" s="20" t="s">
        <v>17</v>
      </c>
      <c r="F132" s="20" t="s">
        <v>18</v>
      </c>
      <c r="G132" s="20" t="s">
        <v>111</v>
      </c>
      <c r="H132" s="24">
        <v>0</v>
      </c>
      <c r="I132" s="24">
        <v>0</v>
      </c>
      <c r="J132" s="24">
        <v>55</v>
      </c>
      <c r="K132" s="24">
        <v>55</v>
      </c>
      <c r="L132" s="24">
        <f>M132</f>
        <v>50</v>
      </c>
      <c r="M132" s="24">
        <v>50</v>
      </c>
      <c r="N132" s="24">
        <v>50</v>
      </c>
      <c r="O132" s="24">
        <f>N132</f>
        <v>50</v>
      </c>
      <c r="P132" s="215">
        <f>N132</f>
        <v>50</v>
      </c>
    </row>
    <row r="133" spans="1:16" ht="15" hidden="1" customHeight="1" outlineLevel="1" x14ac:dyDescent="0.25">
      <c r="A133" s="20" t="s">
        <v>11</v>
      </c>
      <c r="B133" s="21" t="s">
        <v>498</v>
      </c>
      <c r="C133" s="157"/>
      <c r="D133" s="23" t="s">
        <v>112</v>
      </c>
      <c r="E133" s="20" t="s">
        <v>17</v>
      </c>
      <c r="F133" s="20" t="s">
        <v>18</v>
      </c>
      <c r="G133" s="20" t="s">
        <v>113</v>
      </c>
      <c r="H133" s="24">
        <v>162.19999999999999</v>
      </c>
      <c r="I133" s="24">
        <v>0</v>
      </c>
      <c r="J133" s="24">
        <v>0</v>
      </c>
      <c r="K133" s="24">
        <v>0</v>
      </c>
      <c r="L133" s="24"/>
      <c r="M133" s="24">
        <v>0</v>
      </c>
      <c r="N133" s="24">
        <v>500</v>
      </c>
      <c r="O133" s="24">
        <f>N133</f>
        <v>500</v>
      </c>
      <c r="P133" s="215">
        <f>N133</f>
        <v>500</v>
      </c>
    </row>
    <row r="134" spans="1:16" ht="15" hidden="1" customHeight="1" outlineLevel="1" x14ac:dyDescent="0.25">
      <c r="A134" s="20" t="s">
        <v>11</v>
      </c>
      <c r="B134" s="21" t="s">
        <v>496</v>
      </c>
      <c r="C134" s="157"/>
      <c r="D134" s="23" t="s">
        <v>114</v>
      </c>
      <c r="E134" s="20" t="s">
        <v>17</v>
      </c>
      <c r="F134" s="20" t="s">
        <v>18</v>
      </c>
      <c r="G134" s="20" t="s">
        <v>115</v>
      </c>
      <c r="H134" s="24">
        <v>1902</v>
      </c>
      <c r="I134" s="24">
        <v>1180</v>
      </c>
      <c r="J134" s="24">
        <v>1500</v>
      </c>
      <c r="K134" s="24">
        <v>1500</v>
      </c>
      <c r="L134" s="24">
        <v>1500</v>
      </c>
      <c r="M134" s="24">
        <v>0</v>
      </c>
      <c r="N134" s="24">
        <v>1500</v>
      </c>
      <c r="O134" s="24">
        <f>N134</f>
        <v>1500</v>
      </c>
      <c r="P134" s="215">
        <f>N134</f>
        <v>1500</v>
      </c>
    </row>
    <row r="135" spans="1:16" ht="15" hidden="1" customHeight="1" outlineLevel="1" x14ac:dyDescent="0.25">
      <c r="A135" s="20" t="s">
        <v>11</v>
      </c>
      <c r="B135" s="21" t="s">
        <v>496</v>
      </c>
      <c r="C135" s="157"/>
      <c r="D135" s="23" t="s">
        <v>116</v>
      </c>
      <c r="E135" s="20" t="s">
        <v>17</v>
      </c>
      <c r="F135" s="20" t="s">
        <v>18</v>
      </c>
      <c r="G135" s="20" t="s">
        <v>117</v>
      </c>
      <c r="H135" s="24">
        <v>0</v>
      </c>
      <c r="I135" s="24">
        <v>0</v>
      </c>
      <c r="J135" s="24">
        <v>15000</v>
      </c>
      <c r="K135" s="24">
        <v>15000</v>
      </c>
      <c r="L135" s="24">
        <v>12000</v>
      </c>
      <c r="M135" s="24">
        <v>300.26</v>
      </c>
      <c r="N135" s="24">
        <v>16500</v>
      </c>
      <c r="O135" s="24">
        <f>N135</f>
        <v>16500</v>
      </c>
      <c r="P135" s="215">
        <f>N135</f>
        <v>16500</v>
      </c>
    </row>
    <row r="136" spans="1:16" ht="15" hidden="1" customHeight="1" outlineLevel="1" x14ac:dyDescent="0.25">
      <c r="A136" s="20" t="s">
        <v>11</v>
      </c>
      <c r="B136" s="21" t="s">
        <v>483</v>
      </c>
      <c r="C136" s="157"/>
      <c r="D136" s="23" t="s">
        <v>119</v>
      </c>
      <c r="E136" s="20" t="s">
        <v>17</v>
      </c>
      <c r="F136" s="20" t="s">
        <v>18</v>
      </c>
      <c r="G136" s="20" t="s">
        <v>120</v>
      </c>
      <c r="H136" s="24">
        <v>0</v>
      </c>
      <c r="I136" s="24">
        <v>0</v>
      </c>
      <c r="J136" s="24">
        <v>0</v>
      </c>
      <c r="K136" s="24">
        <v>100</v>
      </c>
      <c r="L136" s="24">
        <v>100</v>
      </c>
      <c r="M136" s="24">
        <v>39.6</v>
      </c>
      <c r="N136" s="24">
        <v>100</v>
      </c>
      <c r="O136" s="24">
        <f>N136</f>
        <v>100</v>
      </c>
      <c r="P136" s="215">
        <f>N136</f>
        <v>100</v>
      </c>
    </row>
    <row r="137" spans="1:16" collapsed="1" x14ac:dyDescent="0.25">
      <c r="A137" s="20"/>
      <c r="B137" s="21"/>
      <c r="C137" s="157"/>
      <c r="D137" s="23" t="s">
        <v>473</v>
      </c>
      <c r="E137" s="20"/>
      <c r="F137" s="20"/>
      <c r="G137" s="20" t="s">
        <v>568</v>
      </c>
      <c r="H137" s="24">
        <v>19783.66</v>
      </c>
      <c r="I137" s="24">
        <v>11916.74</v>
      </c>
      <c r="J137" s="24">
        <f t="shared" ref="J137:P137" si="17">SUM(J132:J136)</f>
        <v>16555</v>
      </c>
      <c r="K137" s="24">
        <f t="shared" si="17"/>
        <v>16655</v>
      </c>
      <c r="L137" s="24">
        <f t="shared" si="17"/>
        <v>13650</v>
      </c>
      <c r="M137" s="24">
        <f t="shared" si="17"/>
        <v>389.86</v>
      </c>
      <c r="N137" s="24">
        <f t="shared" si="17"/>
        <v>18650</v>
      </c>
      <c r="O137" s="24">
        <f t="shared" si="17"/>
        <v>18650</v>
      </c>
      <c r="P137" s="215">
        <f t="shared" si="17"/>
        <v>18650</v>
      </c>
    </row>
    <row r="138" spans="1:16" ht="15" hidden="1" customHeight="1" outlineLevel="1" x14ac:dyDescent="0.25">
      <c r="A138" s="20" t="s">
        <v>11</v>
      </c>
      <c r="B138" s="21" t="s">
        <v>495</v>
      </c>
      <c r="C138" s="157"/>
      <c r="D138" s="23" t="s">
        <v>121</v>
      </c>
      <c r="E138" s="20" t="s">
        <v>17</v>
      </c>
      <c r="F138" s="20" t="s">
        <v>18</v>
      </c>
      <c r="G138" s="20" t="s">
        <v>122</v>
      </c>
      <c r="H138" s="24">
        <v>0</v>
      </c>
      <c r="I138" s="24">
        <v>0</v>
      </c>
      <c r="J138" s="24">
        <v>0</v>
      </c>
      <c r="K138" s="24">
        <v>20</v>
      </c>
      <c r="L138" s="24">
        <f>M138/9.5*12</f>
        <v>18.94736842105263</v>
      </c>
      <c r="M138" s="24">
        <v>15</v>
      </c>
      <c r="N138" s="24">
        <v>20</v>
      </c>
      <c r="O138" s="24">
        <f>N138</f>
        <v>20</v>
      </c>
      <c r="P138" s="215">
        <f>N138</f>
        <v>20</v>
      </c>
    </row>
    <row r="139" spans="1:16" ht="15" hidden="1" customHeight="1" outlineLevel="1" x14ac:dyDescent="0.25">
      <c r="A139" s="20" t="s">
        <v>11</v>
      </c>
      <c r="B139" s="21" t="s">
        <v>495</v>
      </c>
      <c r="C139" s="157"/>
      <c r="D139" s="23" t="s">
        <v>121</v>
      </c>
      <c r="E139" s="20" t="s">
        <v>17</v>
      </c>
      <c r="F139" s="20" t="s">
        <v>18</v>
      </c>
      <c r="G139" s="20" t="s">
        <v>123</v>
      </c>
      <c r="H139" s="24">
        <v>1326.51</v>
      </c>
      <c r="I139" s="24">
        <v>2900.44</v>
      </c>
      <c r="J139" s="24">
        <v>1500</v>
      </c>
      <c r="K139" s="24">
        <v>4480</v>
      </c>
      <c r="L139" s="24">
        <f>M139/10*12</f>
        <v>5298.2520000000004</v>
      </c>
      <c r="M139" s="24">
        <v>4415.21</v>
      </c>
      <c r="N139" s="24">
        <v>1500</v>
      </c>
      <c r="O139" s="24">
        <f>N139</f>
        <v>1500</v>
      </c>
      <c r="P139" s="215">
        <f>N139</f>
        <v>1500</v>
      </c>
    </row>
    <row r="140" spans="1:16" ht="15" hidden="1" customHeight="1" outlineLevel="1" x14ac:dyDescent="0.25">
      <c r="A140" s="20" t="s">
        <v>11</v>
      </c>
      <c r="B140" s="21" t="s">
        <v>483</v>
      </c>
      <c r="C140" s="157"/>
      <c r="D140" s="23" t="s">
        <v>124</v>
      </c>
      <c r="E140" s="20" t="s">
        <v>17</v>
      </c>
      <c r="F140" s="20" t="s">
        <v>18</v>
      </c>
      <c r="G140" s="20" t="s">
        <v>125</v>
      </c>
      <c r="H140" s="24">
        <v>108</v>
      </c>
      <c r="I140" s="24">
        <v>58.4</v>
      </c>
      <c r="J140" s="24">
        <v>54</v>
      </c>
      <c r="K140" s="24">
        <v>0</v>
      </c>
      <c r="L140" s="24">
        <v>0</v>
      </c>
      <c r="M140" s="24">
        <v>0</v>
      </c>
      <c r="N140" s="24">
        <v>0</v>
      </c>
      <c r="O140" s="24">
        <f>N140</f>
        <v>0</v>
      </c>
      <c r="P140" s="215">
        <f>N140</f>
        <v>0</v>
      </c>
    </row>
    <row r="141" spans="1:16" ht="15" hidden="1" customHeight="1" outlineLevel="1" x14ac:dyDescent="0.25">
      <c r="A141" s="20" t="s">
        <v>11</v>
      </c>
      <c r="B141" s="21" t="s">
        <v>494</v>
      </c>
      <c r="C141" s="157"/>
      <c r="D141" s="23" t="s">
        <v>124</v>
      </c>
      <c r="E141" s="20" t="s">
        <v>17</v>
      </c>
      <c r="F141" s="20" t="s">
        <v>18</v>
      </c>
      <c r="G141" s="20" t="s">
        <v>125</v>
      </c>
      <c r="H141" s="24">
        <v>0</v>
      </c>
      <c r="I141" s="24">
        <v>0</v>
      </c>
      <c r="J141" s="24">
        <v>0</v>
      </c>
      <c r="K141" s="24">
        <v>54</v>
      </c>
      <c r="L141" s="24">
        <f>M141/10*12</f>
        <v>57.720000000000006</v>
      </c>
      <c r="M141" s="24">
        <v>48.1</v>
      </c>
      <c r="N141" s="24">
        <v>60</v>
      </c>
      <c r="O141" s="8">
        <f>N141</f>
        <v>60</v>
      </c>
      <c r="P141" s="216">
        <f>N141</f>
        <v>60</v>
      </c>
    </row>
    <row r="142" spans="1:16" ht="15" hidden="1" customHeight="1" outlineLevel="1" x14ac:dyDescent="0.25">
      <c r="A142" s="20" t="s">
        <v>11</v>
      </c>
      <c r="B142" s="21" t="s">
        <v>496</v>
      </c>
      <c r="C142" s="157"/>
      <c r="D142" s="23" t="s">
        <v>126</v>
      </c>
      <c r="E142" s="20" t="s">
        <v>17</v>
      </c>
      <c r="F142" s="20" t="s">
        <v>18</v>
      </c>
      <c r="G142" s="20" t="s">
        <v>127</v>
      </c>
      <c r="H142" s="24">
        <v>0</v>
      </c>
      <c r="I142" s="24">
        <v>0</v>
      </c>
      <c r="J142" s="24">
        <v>1000</v>
      </c>
      <c r="K142" s="24">
        <v>1000</v>
      </c>
      <c r="L142" s="24">
        <v>1000</v>
      </c>
      <c r="M142" s="24">
        <v>775.8</v>
      </c>
      <c r="N142" s="24">
        <v>1000</v>
      </c>
      <c r="O142" s="24">
        <f>N142</f>
        <v>1000</v>
      </c>
      <c r="P142" s="215">
        <f>N142</f>
        <v>1000</v>
      </c>
    </row>
    <row r="143" spans="1:16" collapsed="1" x14ac:dyDescent="0.25">
      <c r="A143" s="20"/>
      <c r="B143" s="21"/>
      <c r="C143" s="157"/>
      <c r="D143" s="23" t="s">
        <v>476</v>
      </c>
      <c r="E143" s="20"/>
      <c r="F143" s="20"/>
      <c r="G143" s="20" t="s">
        <v>477</v>
      </c>
      <c r="H143" s="24">
        <v>2334.06</v>
      </c>
      <c r="I143" s="24">
        <v>2932.47</v>
      </c>
      <c r="J143" s="24">
        <f t="shared" ref="J143:P143" si="18">SUM(J138:J142)</f>
        <v>2554</v>
      </c>
      <c r="K143" s="24">
        <f t="shared" si="18"/>
        <v>5554</v>
      </c>
      <c r="L143" s="24">
        <f t="shared" si="18"/>
        <v>6374.9193684210532</v>
      </c>
      <c r="M143" s="24">
        <f t="shared" si="18"/>
        <v>5254.1100000000006</v>
      </c>
      <c r="N143" s="24">
        <f t="shared" si="18"/>
        <v>2580</v>
      </c>
      <c r="O143" s="24">
        <f t="shared" si="18"/>
        <v>2580</v>
      </c>
      <c r="P143" s="215">
        <f t="shared" si="18"/>
        <v>2580</v>
      </c>
    </row>
    <row r="144" spans="1:16" ht="15" hidden="1" customHeight="1" outlineLevel="1" x14ac:dyDescent="0.25">
      <c r="A144" s="20" t="s">
        <v>11</v>
      </c>
      <c r="B144" s="21" t="s">
        <v>500</v>
      </c>
      <c r="C144" s="157"/>
      <c r="D144" s="23" t="s">
        <v>128</v>
      </c>
      <c r="E144" s="20" t="s">
        <v>17</v>
      </c>
      <c r="F144" s="20" t="s">
        <v>18</v>
      </c>
      <c r="G144" s="20" t="s">
        <v>130</v>
      </c>
      <c r="H144" s="24">
        <v>1742</v>
      </c>
      <c r="I144" s="24">
        <v>1674.8</v>
      </c>
      <c r="J144" s="24">
        <v>2500</v>
      </c>
      <c r="K144" s="24">
        <v>2500</v>
      </c>
      <c r="L144" s="24">
        <v>2500</v>
      </c>
      <c r="M144" s="24">
        <v>2186.33</v>
      </c>
      <c r="N144" s="24">
        <v>2500</v>
      </c>
      <c r="O144" s="24">
        <f t="shared" ref="O144:O180" si="19">N144</f>
        <v>2500</v>
      </c>
      <c r="P144" s="215">
        <f t="shared" ref="P144:P180" si="20">N144</f>
        <v>2500</v>
      </c>
    </row>
    <row r="145" spans="1:16" ht="15" hidden="1" customHeight="1" outlineLevel="1" x14ac:dyDescent="0.25">
      <c r="A145" s="20" t="s">
        <v>11</v>
      </c>
      <c r="B145" s="21" t="s">
        <v>527</v>
      </c>
      <c r="C145" s="157"/>
      <c r="D145" s="23" t="s">
        <v>131</v>
      </c>
      <c r="E145" s="20" t="s">
        <v>17</v>
      </c>
      <c r="F145" s="20" t="s">
        <v>18</v>
      </c>
      <c r="G145" s="20" t="s">
        <v>132</v>
      </c>
      <c r="H145" s="24">
        <v>14250.53</v>
      </c>
      <c r="I145" s="24">
        <v>7269.33</v>
      </c>
      <c r="J145" s="24">
        <v>15000</v>
      </c>
      <c r="K145" s="24">
        <v>15000</v>
      </c>
      <c r="L145" s="24">
        <v>15000</v>
      </c>
      <c r="M145" s="24">
        <v>3034.11</v>
      </c>
      <c r="N145" s="24">
        <v>10000</v>
      </c>
      <c r="O145" s="24">
        <f t="shared" si="19"/>
        <v>10000</v>
      </c>
      <c r="P145" s="215">
        <f t="shared" si="20"/>
        <v>10000</v>
      </c>
    </row>
    <row r="146" spans="1:16" ht="15" hidden="1" customHeight="1" outlineLevel="1" x14ac:dyDescent="0.25">
      <c r="A146" s="20"/>
      <c r="B146" s="21" t="s">
        <v>492</v>
      </c>
      <c r="C146" s="157"/>
      <c r="D146" s="23" t="s">
        <v>133</v>
      </c>
      <c r="E146" s="20" t="s">
        <v>17</v>
      </c>
      <c r="F146" s="20" t="s">
        <v>18</v>
      </c>
      <c r="G146" s="20" t="s">
        <v>134</v>
      </c>
      <c r="H146" s="24">
        <v>2153.9699999999998</v>
      </c>
      <c r="I146" s="24">
        <v>1580.59</v>
      </c>
      <c r="J146" s="24">
        <v>2000</v>
      </c>
      <c r="K146" s="24">
        <v>12270</v>
      </c>
      <c r="L146" s="24">
        <f>M146/10*12</f>
        <v>6619.4759999999987</v>
      </c>
      <c r="M146" s="24">
        <v>5516.23</v>
      </c>
      <c r="N146" s="24">
        <v>6000</v>
      </c>
      <c r="O146" s="24">
        <f t="shared" si="19"/>
        <v>6000</v>
      </c>
      <c r="P146" s="215">
        <f t="shared" si="20"/>
        <v>6000</v>
      </c>
    </row>
    <row r="147" spans="1:16" ht="15" hidden="1" customHeight="1" outlineLevel="1" x14ac:dyDescent="0.25">
      <c r="A147" s="20" t="s">
        <v>11</v>
      </c>
      <c r="B147" s="21" t="s">
        <v>496</v>
      </c>
      <c r="C147" s="157"/>
      <c r="D147" s="23" t="s">
        <v>135</v>
      </c>
      <c r="E147" s="20" t="s">
        <v>17</v>
      </c>
      <c r="F147" s="20" t="s">
        <v>18</v>
      </c>
      <c r="G147" s="20" t="s">
        <v>136</v>
      </c>
      <c r="H147" s="24">
        <v>4760.8599999999997</v>
      </c>
      <c r="I147" s="24">
        <v>5128.59</v>
      </c>
      <c r="J147" s="24">
        <v>6000</v>
      </c>
      <c r="K147" s="24">
        <v>4990</v>
      </c>
      <c r="L147" s="24">
        <v>5000</v>
      </c>
      <c r="M147" s="24">
        <v>2254.3200000000002</v>
      </c>
      <c r="N147" s="24">
        <v>5000</v>
      </c>
      <c r="O147" s="24">
        <f t="shared" si="19"/>
        <v>5000</v>
      </c>
      <c r="P147" s="215">
        <f t="shared" si="20"/>
        <v>5000</v>
      </c>
    </row>
    <row r="148" spans="1:16" ht="15" hidden="1" customHeight="1" outlineLevel="1" x14ac:dyDescent="0.25">
      <c r="A148" s="20" t="s">
        <v>11</v>
      </c>
      <c r="B148" s="21" t="s">
        <v>483</v>
      </c>
      <c r="C148" s="157"/>
      <c r="D148" s="23" t="s">
        <v>137</v>
      </c>
      <c r="E148" s="20" t="s">
        <v>17</v>
      </c>
      <c r="F148" s="20" t="s">
        <v>18</v>
      </c>
      <c r="G148" s="20" t="s">
        <v>138</v>
      </c>
      <c r="H148" s="24">
        <v>0</v>
      </c>
      <c r="I148" s="24">
        <v>0</v>
      </c>
      <c r="J148" s="24">
        <v>0</v>
      </c>
      <c r="K148" s="24">
        <v>71.3</v>
      </c>
      <c r="L148" s="24">
        <v>78</v>
      </c>
      <c r="M148" s="24">
        <v>63</v>
      </c>
      <c r="N148" s="24">
        <v>30</v>
      </c>
      <c r="O148" s="24">
        <f t="shared" si="19"/>
        <v>30</v>
      </c>
      <c r="P148" s="215">
        <f t="shared" si="20"/>
        <v>30</v>
      </c>
    </row>
    <row r="149" spans="1:16" ht="15" hidden="1" customHeight="1" outlineLevel="1" x14ac:dyDescent="0.25">
      <c r="A149" s="20" t="s">
        <v>11</v>
      </c>
      <c r="B149" s="21" t="s">
        <v>483</v>
      </c>
      <c r="C149" s="157"/>
      <c r="D149" s="23" t="s">
        <v>137</v>
      </c>
      <c r="E149" s="20" t="s">
        <v>17</v>
      </c>
      <c r="F149" s="20" t="s">
        <v>18</v>
      </c>
      <c r="G149" s="20" t="s">
        <v>139</v>
      </c>
      <c r="H149" s="24">
        <v>0</v>
      </c>
      <c r="I149" s="24">
        <v>0</v>
      </c>
      <c r="J149" s="24">
        <v>4440</v>
      </c>
      <c r="K149" s="24">
        <v>4440</v>
      </c>
      <c r="L149" s="24">
        <v>370</v>
      </c>
      <c r="M149" s="24">
        <v>370</v>
      </c>
      <c r="N149" s="24">
        <v>600</v>
      </c>
      <c r="O149" s="24">
        <f t="shared" si="19"/>
        <v>600</v>
      </c>
      <c r="P149" s="215">
        <f t="shared" si="20"/>
        <v>600</v>
      </c>
    </row>
    <row r="150" spans="1:16" ht="15" hidden="1" customHeight="1" outlineLevel="1" x14ac:dyDescent="0.25">
      <c r="A150" s="20" t="s">
        <v>11</v>
      </c>
      <c r="B150" s="21" t="s">
        <v>486</v>
      </c>
      <c r="C150" s="157"/>
      <c r="D150" s="23" t="s">
        <v>137</v>
      </c>
      <c r="E150" s="20" t="s">
        <v>17</v>
      </c>
      <c r="F150" s="20" t="s">
        <v>18</v>
      </c>
      <c r="G150" s="20" t="s">
        <v>140</v>
      </c>
      <c r="H150" s="24">
        <v>0</v>
      </c>
      <c r="I150" s="24">
        <v>0</v>
      </c>
      <c r="J150" s="24">
        <v>14971.3</v>
      </c>
      <c r="K150" s="24">
        <v>13300</v>
      </c>
      <c r="L150" s="24">
        <f>M150/10*12</f>
        <v>7177.9079999999994</v>
      </c>
      <c r="M150" s="24">
        <v>5981.59</v>
      </c>
      <c r="N150" s="24">
        <v>10000</v>
      </c>
      <c r="O150" s="24">
        <f t="shared" si="19"/>
        <v>10000</v>
      </c>
      <c r="P150" s="215">
        <f t="shared" si="20"/>
        <v>10000</v>
      </c>
    </row>
    <row r="151" spans="1:16" ht="15" hidden="1" customHeight="1" outlineLevel="1" x14ac:dyDescent="0.25">
      <c r="A151" s="20" t="s">
        <v>11</v>
      </c>
      <c r="B151" s="21" t="s">
        <v>489</v>
      </c>
      <c r="C151" s="157"/>
      <c r="D151" s="23" t="s">
        <v>137</v>
      </c>
      <c r="E151" s="20" t="s">
        <v>17</v>
      </c>
      <c r="F151" s="20" t="s">
        <v>18</v>
      </c>
      <c r="G151" s="20" t="s">
        <v>141</v>
      </c>
      <c r="H151" s="24">
        <v>19478.77</v>
      </c>
      <c r="I151" s="24">
        <v>25478</v>
      </c>
      <c r="J151" s="24">
        <v>1800</v>
      </c>
      <c r="K151" s="24">
        <v>1800</v>
      </c>
      <c r="L151" s="24">
        <v>1800</v>
      </c>
      <c r="M151" s="24">
        <v>900</v>
      </c>
      <c r="N151" s="24">
        <v>6000</v>
      </c>
      <c r="O151" s="24">
        <f t="shared" si="19"/>
        <v>6000</v>
      </c>
      <c r="P151" s="215">
        <f t="shared" si="20"/>
        <v>6000</v>
      </c>
    </row>
    <row r="152" spans="1:16" ht="15" hidden="1" customHeight="1" outlineLevel="1" x14ac:dyDescent="0.25">
      <c r="A152" s="20" t="s">
        <v>11</v>
      </c>
      <c r="B152" s="21" t="s">
        <v>483</v>
      </c>
      <c r="C152" s="157"/>
      <c r="D152" s="23" t="s">
        <v>142</v>
      </c>
      <c r="E152" s="20" t="s">
        <v>17</v>
      </c>
      <c r="F152" s="20" t="s">
        <v>18</v>
      </c>
      <c r="G152" s="20" t="s">
        <v>143</v>
      </c>
      <c r="H152" s="24">
        <v>3381.27</v>
      </c>
      <c r="I152" s="24">
        <v>3881.66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f t="shared" si="19"/>
        <v>0</v>
      </c>
      <c r="P152" s="215">
        <f t="shared" si="20"/>
        <v>0</v>
      </c>
    </row>
    <row r="153" spans="1:16" ht="15" hidden="1" customHeight="1" outlineLevel="1" x14ac:dyDescent="0.25">
      <c r="A153" s="20" t="s">
        <v>11</v>
      </c>
      <c r="B153" s="21" t="s">
        <v>486</v>
      </c>
      <c r="C153" s="157"/>
      <c r="D153" s="23" t="s">
        <v>142</v>
      </c>
      <c r="E153" s="20" t="s">
        <v>17</v>
      </c>
      <c r="F153" s="20" t="s">
        <v>18</v>
      </c>
      <c r="G153" s="20" t="s">
        <v>144</v>
      </c>
      <c r="H153" s="24">
        <v>0</v>
      </c>
      <c r="I153" s="24">
        <v>0</v>
      </c>
      <c r="J153" s="24">
        <v>360</v>
      </c>
      <c r="K153" s="24">
        <v>360</v>
      </c>
      <c r="L153" s="24">
        <f>M153</f>
        <v>62.7</v>
      </c>
      <c r="M153" s="24">
        <v>62.7</v>
      </c>
      <c r="N153" s="24">
        <v>60</v>
      </c>
      <c r="O153" s="24">
        <f t="shared" si="19"/>
        <v>60</v>
      </c>
      <c r="P153" s="215">
        <f t="shared" si="20"/>
        <v>60</v>
      </c>
    </row>
    <row r="154" spans="1:16" ht="15" hidden="1" customHeight="1" outlineLevel="1" x14ac:dyDescent="0.25">
      <c r="A154" s="20" t="s">
        <v>11</v>
      </c>
      <c r="B154" s="21" t="s">
        <v>489</v>
      </c>
      <c r="C154" s="157"/>
      <c r="D154" s="23" t="s">
        <v>142</v>
      </c>
      <c r="E154" s="20" t="s">
        <v>17</v>
      </c>
      <c r="F154" s="20" t="s">
        <v>18</v>
      </c>
      <c r="G154" s="20" t="s">
        <v>145</v>
      </c>
      <c r="H154" s="24">
        <v>0</v>
      </c>
      <c r="I154" s="24">
        <v>0</v>
      </c>
      <c r="J154" s="24">
        <v>600</v>
      </c>
      <c r="K154" s="24">
        <v>600</v>
      </c>
      <c r="L154" s="24">
        <v>179.38800000000003</v>
      </c>
      <c r="M154" s="24">
        <v>149.49</v>
      </c>
      <c r="N154" s="24">
        <v>250</v>
      </c>
      <c r="O154" s="24">
        <f t="shared" si="19"/>
        <v>250</v>
      </c>
      <c r="P154" s="215">
        <f t="shared" si="20"/>
        <v>250</v>
      </c>
    </row>
    <row r="155" spans="1:16" ht="15" hidden="1" customHeight="1" outlineLevel="1" x14ac:dyDescent="0.25">
      <c r="A155" s="20" t="s">
        <v>11</v>
      </c>
      <c r="B155" s="21" t="s">
        <v>489</v>
      </c>
      <c r="C155" s="157"/>
      <c r="D155" s="23" t="s">
        <v>142</v>
      </c>
      <c r="E155" s="20" t="s">
        <v>17</v>
      </c>
      <c r="F155" s="20" t="s">
        <v>18</v>
      </c>
      <c r="G155" s="20" t="s">
        <v>146</v>
      </c>
      <c r="H155" s="24">
        <v>0</v>
      </c>
      <c r="I155" s="24">
        <v>0</v>
      </c>
      <c r="J155" s="24">
        <v>100</v>
      </c>
      <c r="K155" s="24">
        <v>150</v>
      </c>
      <c r="L155" s="24">
        <v>157.10399999999998</v>
      </c>
      <c r="M155" s="24">
        <v>130.91999999999999</v>
      </c>
      <c r="N155" s="24">
        <v>180</v>
      </c>
      <c r="O155" s="24">
        <f t="shared" si="19"/>
        <v>180</v>
      </c>
      <c r="P155" s="215">
        <f t="shared" si="20"/>
        <v>180</v>
      </c>
    </row>
    <row r="156" spans="1:16" ht="15" hidden="1" customHeight="1" outlineLevel="1" x14ac:dyDescent="0.25">
      <c r="A156" s="20" t="s">
        <v>11</v>
      </c>
      <c r="B156" s="21" t="s">
        <v>489</v>
      </c>
      <c r="C156" s="157"/>
      <c r="D156" s="23" t="s">
        <v>142</v>
      </c>
      <c r="E156" s="20" t="s">
        <v>17</v>
      </c>
      <c r="F156" s="20" t="s">
        <v>18</v>
      </c>
      <c r="G156" s="20" t="s">
        <v>147</v>
      </c>
      <c r="H156" s="24">
        <v>0</v>
      </c>
      <c r="I156" s="24">
        <v>0</v>
      </c>
      <c r="J156" s="24">
        <v>1500</v>
      </c>
      <c r="K156" s="24">
        <v>1450</v>
      </c>
      <c r="L156" s="24">
        <v>1838.22</v>
      </c>
      <c r="M156" s="24">
        <v>1531.85</v>
      </c>
      <c r="N156" s="24">
        <v>2000</v>
      </c>
      <c r="O156" s="24">
        <f t="shared" si="19"/>
        <v>2000</v>
      </c>
      <c r="P156" s="215">
        <f t="shared" si="20"/>
        <v>2000</v>
      </c>
    </row>
    <row r="157" spans="1:16" ht="15" hidden="1" customHeight="1" outlineLevel="1" x14ac:dyDescent="0.25">
      <c r="A157" s="20" t="s">
        <v>11</v>
      </c>
      <c r="B157" s="21" t="s">
        <v>489</v>
      </c>
      <c r="C157" s="157"/>
      <c r="D157" s="23" t="s">
        <v>142</v>
      </c>
      <c r="E157" s="20" t="s">
        <v>17</v>
      </c>
      <c r="F157" s="20" t="s">
        <v>18</v>
      </c>
      <c r="G157" s="20" t="s">
        <v>148</v>
      </c>
      <c r="H157" s="24">
        <v>0</v>
      </c>
      <c r="I157" s="24">
        <v>0</v>
      </c>
      <c r="J157" s="24">
        <v>900</v>
      </c>
      <c r="K157" s="24">
        <v>900</v>
      </c>
      <c r="L157" s="24">
        <v>699.27600000000007</v>
      </c>
      <c r="M157" s="24">
        <v>582.73</v>
      </c>
      <c r="N157" s="24">
        <v>800</v>
      </c>
      <c r="O157" s="24">
        <f t="shared" si="19"/>
        <v>800</v>
      </c>
      <c r="P157" s="215">
        <f t="shared" si="20"/>
        <v>800</v>
      </c>
    </row>
    <row r="158" spans="1:16" ht="15" hidden="1" customHeight="1" outlineLevel="1" x14ac:dyDescent="0.25">
      <c r="A158" s="20" t="s">
        <v>11</v>
      </c>
      <c r="B158" s="21" t="s">
        <v>489</v>
      </c>
      <c r="C158" s="157"/>
      <c r="D158" s="23" t="s">
        <v>142</v>
      </c>
      <c r="E158" s="20" t="s">
        <v>17</v>
      </c>
      <c r="F158" s="20" t="s">
        <v>18</v>
      </c>
      <c r="G158" s="20" t="s">
        <v>149</v>
      </c>
      <c r="H158" s="24">
        <v>0</v>
      </c>
      <c r="I158" s="24">
        <v>0</v>
      </c>
      <c r="J158" s="24">
        <v>110</v>
      </c>
      <c r="K158" s="24">
        <v>110</v>
      </c>
      <c r="L158" s="24">
        <v>128.04</v>
      </c>
      <c r="M158" s="24">
        <v>106.7</v>
      </c>
      <c r="N158" s="24">
        <v>150</v>
      </c>
      <c r="O158" s="24">
        <f t="shared" si="19"/>
        <v>150</v>
      </c>
      <c r="P158" s="215">
        <f t="shared" si="20"/>
        <v>150</v>
      </c>
    </row>
    <row r="159" spans="1:16" ht="15" hidden="1" customHeight="1" outlineLevel="1" x14ac:dyDescent="0.25">
      <c r="A159" s="20" t="s">
        <v>11</v>
      </c>
      <c r="B159" s="21" t="s">
        <v>489</v>
      </c>
      <c r="C159" s="157"/>
      <c r="D159" s="23" t="s">
        <v>142</v>
      </c>
      <c r="E159" s="20" t="s">
        <v>17</v>
      </c>
      <c r="F159" s="20" t="s">
        <v>18</v>
      </c>
      <c r="G159" s="20" t="s">
        <v>150</v>
      </c>
      <c r="H159" s="24">
        <v>0</v>
      </c>
      <c r="I159" s="24">
        <v>0</v>
      </c>
      <c r="J159" s="24">
        <v>150</v>
      </c>
      <c r="K159" s="24">
        <v>200</v>
      </c>
      <c r="L159" s="24">
        <v>214.68</v>
      </c>
      <c r="M159" s="24">
        <v>178.9</v>
      </c>
      <c r="N159" s="24">
        <v>250</v>
      </c>
      <c r="O159" s="24">
        <f t="shared" si="19"/>
        <v>250</v>
      </c>
      <c r="P159" s="215">
        <f t="shared" si="20"/>
        <v>250</v>
      </c>
    </row>
    <row r="160" spans="1:16" ht="15" hidden="1" customHeight="1" outlineLevel="1" x14ac:dyDescent="0.25">
      <c r="A160" s="20" t="s">
        <v>11</v>
      </c>
      <c r="B160" s="21" t="s">
        <v>483</v>
      </c>
      <c r="C160" s="157"/>
      <c r="D160" s="23" t="s">
        <v>151</v>
      </c>
      <c r="E160" s="20" t="s">
        <v>17</v>
      </c>
      <c r="F160" s="20" t="s">
        <v>18</v>
      </c>
      <c r="G160" s="20" t="s">
        <v>152</v>
      </c>
      <c r="H160" s="24">
        <v>14185.14</v>
      </c>
      <c r="I160" s="24">
        <v>11323.92</v>
      </c>
      <c r="J160" s="24">
        <v>1431</v>
      </c>
      <c r="K160" s="24">
        <v>2531</v>
      </c>
      <c r="L160" s="24">
        <f>M160/10*12</f>
        <v>2708.7960000000003</v>
      </c>
      <c r="M160" s="24">
        <v>2257.33</v>
      </c>
      <c r="N160" s="24">
        <v>1683</v>
      </c>
      <c r="O160" s="24">
        <f t="shared" si="19"/>
        <v>1683</v>
      </c>
      <c r="P160" s="215">
        <f t="shared" si="20"/>
        <v>1683</v>
      </c>
    </row>
    <row r="161" spans="1:16" ht="15" hidden="1" customHeight="1" outlineLevel="1" x14ac:dyDescent="0.25">
      <c r="A161" s="20" t="s">
        <v>11</v>
      </c>
      <c r="B161" s="21" t="s">
        <v>486</v>
      </c>
      <c r="C161" s="157"/>
      <c r="D161" s="23" t="s">
        <v>151</v>
      </c>
      <c r="E161" s="20" t="s">
        <v>17</v>
      </c>
      <c r="F161" s="20" t="s">
        <v>18</v>
      </c>
      <c r="G161" s="20" t="s">
        <v>152</v>
      </c>
      <c r="H161" s="24">
        <v>0</v>
      </c>
      <c r="I161" s="24">
        <v>0</v>
      </c>
      <c r="J161" s="24">
        <v>2385</v>
      </c>
      <c r="K161" s="24">
        <v>1785</v>
      </c>
      <c r="L161" s="24">
        <v>1785</v>
      </c>
      <c r="M161" s="24">
        <v>2755.7</v>
      </c>
      <c r="N161" s="24">
        <v>5610</v>
      </c>
      <c r="O161" s="24">
        <f t="shared" si="19"/>
        <v>5610</v>
      </c>
      <c r="P161" s="215">
        <f t="shared" si="20"/>
        <v>5610</v>
      </c>
    </row>
    <row r="162" spans="1:16" ht="15" hidden="1" customHeight="1" outlineLevel="1" x14ac:dyDescent="0.25">
      <c r="A162" s="20" t="s">
        <v>11</v>
      </c>
      <c r="B162" s="21" t="s">
        <v>487</v>
      </c>
      <c r="C162" s="157"/>
      <c r="D162" s="23" t="s">
        <v>151</v>
      </c>
      <c r="E162" s="20" t="s">
        <v>17</v>
      </c>
      <c r="F162" s="20" t="s">
        <v>18</v>
      </c>
      <c r="G162" s="20" t="s">
        <v>152</v>
      </c>
      <c r="H162" s="24">
        <v>0</v>
      </c>
      <c r="I162" s="24">
        <v>0</v>
      </c>
      <c r="J162" s="24">
        <v>954</v>
      </c>
      <c r="K162" s="24">
        <v>954</v>
      </c>
      <c r="L162" s="24">
        <v>954</v>
      </c>
      <c r="M162" s="24">
        <v>1418.76</v>
      </c>
      <c r="N162" s="24">
        <v>1122</v>
      </c>
      <c r="O162" s="24">
        <f t="shared" si="19"/>
        <v>1122</v>
      </c>
      <c r="P162" s="215">
        <f t="shared" si="20"/>
        <v>1122</v>
      </c>
    </row>
    <row r="163" spans="1:16" ht="15" hidden="1" customHeight="1" outlineLevel="1" x14ac:dyDescent="0.25">
      <c r="A163" s="20" t="s">
        <v>11</v>
      </c>
      <c r="B163" s="21" t="s">
        <v>488</v>
      </c>
      <c r="C163" s="157"/>
      <c r="D163" s="23" t="s">
        <v>151</v>
      </c>
      <c r="E163" s="20" t="s">
        <v>17</v>
      </c>
      <c r="F163" s="20" t="s">
        <v>18</v>
      </c>
      <c r="G163" s="20" t="s">
        <v>152</v>
      </c>
      <c r="H163" s="24">
        <v>0</v>
      </c>
      <c r="I163" s="24">
        <v>0</v>
      </c>
      <c r="J163" s="24">
        <v>954</v>
      </c>
      <c r="K163" s="24">
        <v>954</v>
      </c>
      <c r="L163" s="24">
        <v>954</v>
      </c>
      <c r="M163" s="24">
        <v>920.59</v>
      </c>
      <c r="N163" s="24">
        <v>561</v>
      </c>
      <c r="O163" s="24">
        <f t="shared" si="19"/>
        <v>561</v>
      </c>
      <c r="P163" s="215">
        <f t="shared" si="20"/>
        <v>561</v>
      </c>
    </row>
    <row r="164" spans="1:16" ht="15" hidden="1" customHeight="1" outlineLevel="1" x14ac:dyDescent="0.25">
      <c r="A164" s="20" t="s">
        <v>11</v>
      </c>
      <c r="B164" s="21" t="s">
        <v>489</v>
      </c>
      <c r="C164" s="157"/>
      <c r="D164" s="23" t="s">
        <v>151</v>
      </c>
      <c r="E164" s="20" t="s">
        <v>17</v>
      </c>
      <c r="F164" s="20" t="s">
        <v>18</v>
      </c>
      <c r="G164" s="20" t="s">
        <v>152</v>
      </c>
      <c r="H164" s="24">
        <v>0</v>
      </c>
      <c r="I164" s="24">
        <v>0</v>
      </c>
      <c r="J164" s="24">
        <v>1500</v>
      </c>
      <c r="K164" s="24">
        <v>1400</v>
      </c>
      <c r="L164" s="24">
        <v>1400</v>
      </c>
      <c r="M164" s="24">
        <v>1982.89</v>
      </c>
      <c r="N164" s="24">
        <v>2244</v>
      </c>
      <c r="O164" s="24">
        <f t="shared" si="19"/>
        <v>2244</v>
      </c>
      <c r="P164" s="215">
        <f t="shared" si="20"/>
        <v>2244</v>
      </c>
    </row>
    <row r="165" spans="1:16" ht="15" hidden="1" customHeight="1" outlineLevel="1" x14ac:dyDescent="0.25">
      <c r="A165" s="20" t="s">
        <v>11</v>
      </c>
      <c r="B165" s="21" t="s">
        <v>490</v>
      </c>
      <c r="C165" s="157"/>
      <c r="D165" s="23" t="s">
        <v>151</v>
      </c>
      <c r="E165" s="20" t="s">
        <v>17</v>
      </c>
      <c r="F165" s="20" t="s">
        <v>18</v>
      </c>
      <c r="G165" s="20" t="s">
        <v>152</v>
      </c>
      <c r="H165" s="24">
        <v>0</v>
      </c>
      <c r="I165" s="24">
        <v>0</v>
      </c>
      <c r="J165" s="24">
        <v>650</v>
      </c>
      <c r="K165" s="24">
        <v>450</v>
      </c>
      <c r="L165" s="24">
        <v>0</v>
      </c>
      <c r="M165" s="24">
        <v>0</v>
      </c>
      <c r="N165" s="24">
        <v>0</v>
      </c>
      <c r="O165" s="24">
        <f t="shared" si="19"/>
        <v>0</v>
      </c>
      <c r="P165" s="215">
        <f t="shared" si="20"/>
        <v>0</v>
      </c>
    </row>
    <row r="166" spans="1:16" ht="15" hidden="1" customHeight="1" outlineLevel="1" x14ac:dyDescent="0.25">
      <c r="A166" s="20" t="s">
        <v>11</v>
      </c>
      <c r="B166" s="21" t="s">
        <v>498</v>
      </c>
      <c r="C166" s="157"/>
      <c r="D166" s="23" t="s">
        <v>151</v>
      </c>
      <c r="E166" s="20" t="s">
        <v>17</v>
      </c>
      <c r="F166" s="20" t="s">
        <v>18</v>
      </c>
      <c r="G166" s="20" t="s">
        <v>152</v>
      </c>
      <c r="H166" s="24">
        <v>0</v>
      </c>
      <c r="I166" s="24">
        <v>0</v>
      </c>
      <c r="J166" s="24">
        <v>477</v>
      </c>
      <c r="K166" s="24">
        <v>477</v>
      </c>
      <c r="L166" s="24">
        <v>477</v>
      </c>
      <c r="M166" s="24">
        <v>583.52</v>
      </c>
      <c r="N166" s="24">
        <v>561</v>
      </c>
      <c r="O166" s="24">
        <f t="shared" si="19"/>
        <v>561</v>
      </c>
      <c r="P166" s="215">
        <f t="shared" si="20"/>
        <v>561</v>
      </c>
    </row>
    <row r="167" spans="1:16" ht="15" hidden="1" customHeight="1" outlineLevel="1" x14ac:dyDescent="0.25">
      <c r="A167" s="20" t="s">
        <v>11</v>
      </c>
      <c r="B167" s="21" t="s">
        <v>502</v>
      </c>
      <c r="C167" s="157"/>
      <c r="D167" s="23" t="s">
        <v>151</v>
      </c>
      <c r="E167" s="20" t="s">
        <v>17</v>
      </c>
      <c r="F167" s="20" t="s">
        <v>18</v>
      </c>
      <c r="G167" s="20" t="s">
        <v>152</v>
      </c>
      <c r="H167" s="24">
        <v>0</v>
      </c>
      <c r="I167" s="24">
        <v>0</v>
      </c>
      <c r="J167" s="24">
        <v>477</v>
      </c>
      <c r="K167" s="24">
        <v>477</v>
      </c>
      <c r="L167" s="24">
        <v>477</v>
      </c>
      <c r="M167" s="24">
        <v>653.04</v>
      </c>
      <c r="N167" s="24">
        <v>561</v>
      </c>
      <c r="O167" s="24">
        <f t="shared" si="19"/>
        <v>561</v>
      </c>
      <c r="P167" s="215">
        <f t="shared" si="20"/>
        <v>561</v>
      </c>
    </row>
    <row r="168" spans="1:16" ht="15" hidden="1" customHeight="1" outlineLevel="1" x14ac:dyDescent="0.25">
      <c r="A168" s="20" t="s">
        <v>11</v>
      </c>
      <c r="B168" s="21" t="s">
        <v>504</v>
      </c>
      <c r="C168" s="157"/>
      <c r="D168" s="23" t="s">
        <v>151</v>
      </c>
      <c r="E168" s="20" t="s">
        <v>17</v>
      </c>
      <c r="F168" s="20" t="s">
        <v>18</v>
      </c>
      <c r="G168" s="20" t="s">
        <v>152</v>
      </c>
      <c r="H168" s="24">
        <v>0</v>
      </c>
      <c r="I168" s="24">
        <v>0</v>
      </c>
      <c r="J168" s="24">
        <v>954</v>
      </c>
      <c r="K168" s="24">
        <v>754</v>
      </c>
      <c r="L168" s="24">
        <f>M168/10*12</f>
        <v>756.51599999999985</v>
      </c>
      <c r="M168" s="24">
        <v>630.42999999999995</v>
      </c>
      <c r="N168" s="24">
        <v>1122</v>
      </c>
      <c r="O168" s="24">
        <f t="shared" si="19"/>
        <v>1122</v>
      </c>
      <c r="P168" s="215">
        <f t="shared" si="20"/>
        <v>1122</v>
      </c>
    </row>
    <row r="169" spans="1:16" ht="15" hidden="1" customHeight="1" outlineLevel="1" x14ac:dyDescent="0.25">
      <c r="A169" s="20" t="s">
        <v>11</v>
      </c>
      <c r="B169" s="21" t="s">
        <v>495</v>
      </c>
      <c r="C169" s="157"/>
      <c r="D169" s="23" t="s">
        <v>153</v>
      </c>
      <c r="E169" s="20" t="s">
        <v>17</v>
      </c>
      <c r="F169" s="20" t="s">
        <v>18</v>
      </c>
      <c r="G169" s="20" t="s">
        <v>154</v>
      </c>
      <c r="H169" s="24">
        <v>3080.33</v>
      </c>
      <c r="I169" s="24">
        <v>4209.1000000000004</v>
      </c>
      <c r="J169" s="24">
        <v>3950</v>
      </c>
      <c r="K169" s="24">
        <v>3950</v>
      </c>
      <c r="L169" s="24">
        <f>M169/10*12</f>
        <v>3826.8119999999999</v>
      </c>
      <c r="M169" s="24">
        <v>3189.01</v>
      </c>
      <c r="N169" s="24">
        <v>3950</v>
      </c>
      <c r="O169" s="24">
        <f t="shared" si="19"/>
        <v>3950</v>
      </c>
      <c r="P169" s="215">
        <f t="shared" si="20"/>
        <v>3950</v>
      </c>
    </row>
    <row r="170" spans="1:16" ht="15" hidden="1" customHeight="1" outlineLevel="1" x14ac:dyDescent="0.25">
      <c r="A170" s="20" t="s">
        <v>11</v>
      </c>
      <c r="B170" s="21" t="s">
        <v>483</v>
      </c>
      <c r="C170" s="157"/>
      <c r="D170" s="23" t="s">
        <v>155</v>
      </c>
      <c r="E170" s="20" t="s">
        <v>17</v>
      </c>
      <c r="F170" s="20" t="s">
        <v>18</v>
      </c>
      <c r="G170" s="20" t="s">
        <v>156</v>
      </c>
      <c r="H170" s="24">
        <v>2689.64</v>
      </c>
      <c r="I170" s="24">
        <v>2966.79</v>
      </c>
      <c r="J170" s="24">
        <v>830</v>
      </c>
      <c r="K170" s="24">
        <v>830</v>
      </c>
      <c r="L170" s="24">
        <f>M170/10*12.5</f>
        <v>330.45</v>
      </c>
      <c r="M170" s="24">
        <v>264.36</v>
      </c>
      <c r="N170" s="24">
        <v>740</v>
      </c>
      <c r="O170" s="24">
        <f t="shared" si="19"/>
        <v>740</v>
      </c>
      <c r="P170" s="215">
        <f t="shared" si="20"/>
        <v>740</v>
      </c>
    </row>
    <row r="171" spans="1:16" ht="15" hidden="1" customHeight="1" outlineLevel="1" x14ac:dyDescent="0.25">
      <c r="A171" s="20" t="s">
        <v>11</v>
      </c>
      <c r="B171" s="21" t="s">
        <v>486</v>
      </c>
      <c r="C171" s="157"/>
      <c r="D171" s="23" t="s">
        <v>155</v>
      </c>
      <c r="E171" s="20" t="s">
        <v>17</v>
      </c>
      <c r="F171" s="20" t="s">
        <v>18</v>
      </c>
      <c r="G171" s="20" t="s">
        <v>156</v>
      </c>
      <c r="H171" s="24">
        <v>0</v>
      </c>
      <c r="I171" s="24">
        <v>0</v>
      </c>
      <c r="J171" s="24">
        <v>757</v>
      </c>
      <c r="K171" s="24">
        <v>757</v>
      </c>
      <c r="L171" s="24">
        <f>M171/10*12.5</f>
        <v>421.28749999999997</v>
      </c>
      <c r="M171" s="24">
        <v>337.03</v>
      </c>
      <c r="N171" s="24">
        <v>949</v>
      </c>
      <c r="O171" s="24">
        <f t="shared" si="19"/>
        <v>949</v>
      </c>
      <c r="P171" s="215">
        <f t="shared" si="20"/>
        <v>949</v>
      </c>
    </row>
    <row r="172" spans="1:16" ht="15" hidden="1" customHeight="1" outlineLevel="1" x14ac:dyDescent="0.25">
      <c r="A172" s="20" t="s">
        <v>11</v>
      </c>
      <c r="B172" s="21" t="s">
        <v>487</v>
      </c>
      <c r="C172" s="157"/>
      <c r="D172" s="23" t="s">
        <v>155</v>
      </c>
      <c r="E172" s="20" t="s">
        <v>17</v>
      </c>
      <c r="F172" s="20" t="s">
        <v>18</v>
      </c>
      <c r="G172" s="20" t="s">
        <v>156</v>
      </c>
      <c r="H172" s="24">
        <v>0</v>
      </c>
      <c r="I172" s="24">
        <v>0</v>
      </c>
      <c r="J172" s="24">
        <v>385</v>
      </c>
      <c r="K172" s="24">
        <v>385</v>
      </c>
      <c r="L172" s="24">
        <v>300.13319999999999</v>
      </c>
      <c r="M172" s="24">
        <v>230.37</v>
      </c>
      <c r="N172" s="24">
        <v>262</v>
      </c>
      <c r="O172" s="24">
        <f t="shared" si="19"/>
        <v>262</v>
      </c>
      <c r="P172" s="215">
        <f t="shared" si="20"/>
        <v>262</v>
      </c>
    </row>
    <row r="173" spans="1:16" ht="15" hidden="1" customHeight="1" outlineLevel="1" x14ac:dyDescent="0.25">
      <c r="A173" s="20" t="s">
        <v>11</v>
      </c>
      <c r="B173" s="21" t="s">
        <v>488</v>
      </c>
      <c r="C173" s="157"/>
      <c r="D173" s="23" t="s">
        <v>155</v>
      </c>
      <c r="E173" s="20" t="s">
        <v>17</v>
      </c>
      <c r="F173" s="20" t="s">
        <v>18</v>
      </c>
      <c r="G173" s="20" t="s">
        <v>156</v>
      </c>
      <c r="H173" s="24">
        <v>0</v>
      </c>
      <c r="I173" s="24">
        <v>0</v>
      </c>
      <c r="J173" s="24">
        <v>383</v>
      </c>
      <c r="K173" s="24">
        <v>383</v>
      </c>
      <c r="L173" s="24">
        <v>185.31</v>
      </c>
      <c r="M173" s="24">
        <v>157.03</v>
      </c>
      <c r="N173" s="24">
        <v>155</v>
      </c>
      <c r="O173" s="24">
        <f t="shared" si="19"/>
        <v>155</v>
      </c>
      <c r="P173" s="215">
        <f t="shared" si="20"/>
        <v>155</v>
      </c>
    </row>
    <row r="174" spans="1:16" ht="15" hidden="1" customHeight="1" outlineLevel="1" x14ac:dyDescent="0.25">
      <c r="A174" s="20" t="s">
        <v>11</v>
      </c>
      <c r="B174" s="21" t="s">
        <v>489</v>
      </c>
      <c r="C174" s="157"/>
      <c r="D174" s="23" t="s">
        <v>155</v>
      </c>
      <c r="E174" s="20" t="s">
        <v>17</v>
      </c>
      <c r="F174" s="20" t="s">
        <v>18</v>
      </c>
      <c r="G174" s="20" t="s">
        <v>156</v>
      </c>
      <c r="H174" s="24">
        <v>0</v>
      </c>
      <c r="I174" s="24">
        <v>0</v>
      </c>
      <c r="J174" s="24">
        <v>430</v>
      </c>
      <c r="K174" s="24">
        <v>430</v>
      </c>
      <c r="L174" s="24">
        <v>308.11</v>
      </c>
      <c r="M174" s="24">
        <v>225.35</v>
      </c>
      <c r="N174" s="24">
        <v>467</v>
      </c>
      <c r="O174" s="24">
        <f t="shared" si="19"/>
        <v>467</v>
      </c>
      <c r="P174" s="215">
        <f t="shared" si="20"/>
        <v>467</v>
      </c>
    </row>
    <row r="175" spans="1:16" ht="15" hidden="1" customHeight="1" outlineLevel="1" x14ac:dyDescent="0.25">
      <c r="A175" s="20" t="s">
        <v>11</v>
      </c>
      <c r="B175" s="21" t="s">
        <v>490</v>
      </c>
      <c r="C175" s="157"/>
      <c r="D175" s="23" t="s">
        <v>155</v>
      </c>
      <c r="E175" s="20" t="s">
        <v>17</v>
      </c>
      <c r="F175" s="20" t="s">
        <v>18</v>
      </c>
      <c r="G175" s="20" t="s">
        <v>156</v>
      </c>
      <c r="H175" s="24">
        <v>0</v>
      </c>
      <c r="I175" s="24">
        <v>0</v>
      </c>
      <c r="J175" s="24">
        <v>143</v>
      </c>
      <c r="K175" s="24">
        <v>143</v>
      </c>
      <c r="L175" s="24">
        <v>0</v>
      </c>
      <c r="M175" s="24">
        <v>0</v>
      </c>
      <c r="N175" s="24">
        <v>0</v>
      </c>
      <c r="O175" s="24">
        <f t="shared" si="19"/>
        <v>0</v>
      </c>
      <c r="P175" s="215">
        <f t="shared" si="20"/>
        <v>0</v>
      </c>
    </row>
    <row r="176" spans="1:16" ht="15" hidden="1" customHeight="1" outlineLevel="1" x14ac:dyDescent="0.25">
      <c r="A176" s="20" t="s">
        <v>11</v>
      </c>
      <c r="B176" s="21" t="s">
        <v>498</v>
      </c>
      <c r="C176" s="157"/>
      <c r="D176" s="23" t="s">
        <v>155</v>
      </c>
      <c r="E176" s="20" t="s">
        <v>17</v>
      </c>
      <c r="F176" s="20" t="s">
        <v>18</v>
      </c>
      <c r="G176" s="20" t="s">
        <v>156</v>
      </c>
      <c r="H176" s="24">
        <v>0</v>
      </c>
      <c r="I176" s="24">
        <v>0</v>
      </c>
      <c r="J176" s="24">
        <v>163</v>
      </c>
      <c r="K176" s="24">
        <v>163</v>
      </c>
      <c r="L176" s="24">
        <v>65.87</v>
      </c>
      <c r="M176" s="24">
        <v>47.78</v>
      </c>
      <c r="N176" s="24">
        <v>102</v>
      </c>
      <c r="O176" s="24">
        <f t="shared" si="19"/>
        <v>102</v>
      </c>
      <c r="P176" s="215">
        <f t="shared" si="20"/>
        <v>102</v>
      </c>
    </row>
    <row r="177" spans="1:16" ht="15" hidden="1" customHeight="1" outlineLevel="1" x14ac:dyDescent="0.25">
      <c r="A177" s="20" t="s">
        <v>11</v>
      </c>
      <c r="B177" s="21" t="s">
        <v>502</v>
      </c>
      <c r="C177" s="157"/>
      <c r="D177" s="23" t="s">
        <v>155</v>
      </c>
      <c r="E177" s="20" t="s">
        <v>17</v>
      </c>
      <c r="F177" s="20" t="s">
        <v>18</v>
      </c>
      <c r="G177" s="20" t="s">
        <v>156</v>
      </c>
      <c r="H177" s="24">
        <v>0</v>
      </c>
      <c r="I177" s="24">
        <v>0</v>
      </c>
      <c r="J177" s="24">
        <v>133</v>
      </c>
      <c r="K177" s="24">
        <v>133</v>
      </c>
      <c r="L177" s="24">
        <v>89.850000000000009</v>
      </c>
      <c r="M177" s="24">
        <v>68.34</v>
      </c>
      <c r="N177" s="24">
        <v>120</v>
      </c>
      <c r="O177" s="24">
        <f t="shared" si="19"/>
        <v>120</v>
      </c>
      <c r="P177" s="215">
        <f t="shared" si="20"/>
        <v>120</v>
      </c>
    </row>
    <row r="178" spans="1:16" ht="15" hidden="1" customHeight="1" outlineLevel="1" x14ac:dyDescent="0.25">
      <c r="A178" s="20" t="s">
        <v>11</v>
      </c>
      <c r="B178" s="21" t="s">
        <v>504</v>
      </c>
      <c r="C178" s="157"/>
      <c r="D178" s="23" t="s">
        <v>155</v>
      </c>
      <c r="E178" s="20" t="s">
        <v>17</v>
      </c>
      <c r="F178" s="20" t="s">
        <v>18</v>
      </c>
      <c r="G178" s="20" t="s">
        <v>156</v>
      </c>
      <c r="H178" s="24">
        <v>0</v>
      </c>
      <c r="I178" s="24">
        <v>0</v>
      </c>
      <c r="J178" s="24">
        <v>156</v>
      </c>
      <c r="K178" s="24">
        <v>156</v>
      </c>
      <c r="L178" s="24">
        <v>122.89</v>
      </c>
      <c r="M178" s="24">
        <v>82.89</v>
      </c>
      <c r="N178" s="24">
        <v>260</v>
      </c>
      <c r="O178" s="24">
        <f t="shared" si="19"/>
        <v>260</v>
      </c>
      <c r="P178" s="215">
        <f t="shared" si="20"/>
        <v>260</v>
      </c>
    </row>
    <row r="179" spans="1:16" ht="15" hidden="1" customHeight="1" outlineLevel="1" x14ac:dyDescent="0.25">
      <c r="A179" s="20" t="s">
        <v>11</v>
      </c>
      <c r="B179" s="21" t="s">
        <v>527</v>
      </c>
      <c r="C179" s="157"/>
      <c r="D179" s="23" t="s">
        <v>157</v>
      </c>
      <c r="E179" s="20" t="s">
        <v>17</v>
      </c>
      <c r="F179" s="20" t="s">
        <v>18</v>
      </c>
      <c r="G179" s="20" t="s">
        <v>158</v>
      </c>
      <c r="H179" s="24">
        <v>0</v>
      </c>
      <c r="I179" s="24">
        <v>0</v>
      </c>
      <c r="J179" s="24">
        <v>0</v>
      </c>
      <c r="K179" s="24">
        <v>830</v>
      </c>
      <c r="L179" s="24">
        <v>830</v>
      </c>
      <c r="M179" s="24">
        <v>827.27</v>
      </c>
      <c r="N179" s="24">
        <v>0</v>
      </c>
      <c r="O179" s="24">
        <f t="shared" si="19"/>
        <v>0</v>
      </c>
      <c r="P179" s="215">
        <f t="shared" si="20"/>
        <v>0</v>
      </c>
    </row>
    <row r="180" spans="1:16" ht="15" hidden="1" customHeight="1" outlineLevel="1" x14ac:dyDescent="0.25">
      <c r="A180" s="20" t="s">
        <v>11</v>
      </c>
      <c r="B180" s="21" t="s">
        <v>489</v>
      </c>
      <c r="C180" s="157"/>
      <c r="D180" s="23" t="s">
        <v>159</v>
      </c>
      <c r="E180" s="20" t="s">
        <v>17</v>
      </c>
      <c r="F180" s="20" t="s">
        <v>18</v>
      </c>
      <c r="G180" s="20" t="s">
        <v>160</v>
      </c>
      <c r="H180" s="24">
        <v>7825.59</v>
      </c>
      <c r="I180" s="24">
        <v>8351.5</v>
      </c>
      <c r="J180" s="24">
        <v>500</v>
      </c>
      <c r="K180" s="24">
        <v>250</v>
      </c>
      <c r="L180" s="24">
        <v>205</v>
      </c>
      <c r="M180" s="24">
        <v>205</v>
      </c>
      <c r="N180" s="24">
        <v>500</v>
      </c>
      <c r="O180" s="24">
        <f t="shared" si="19"/>
        <v>500</v>
      </c>
      <c r="P180" s="215">
        <f t="shared" si="20"/>
        <v>500</v>
      </c>
    </row>
    <row r="181" spans="1:16" ht="15" hidden="1" customHeight="1" outlineLevel="1" x14ac:dyDescent="0.25">
      <c r="A181" s="20" t="s">
        <v>11</v>
      </c>
      <c r="B181" s="21" t="s">
        <v>483</v>
      </c>
      <c r="C181" s="157"/>
      <c r="D181" s="23" t="s">
        <v>162</v>
      </c>
      <c r="E181" s="20" t="s">
        <v>17</v>
      </c>
      <c r="F181" s="20" t="s">
        <v>18</v>
      </c>
      <c r="G181" s="20" t="s">
        <v>163</v>
      </c>
      <c r="H181" s="24">
        <v>0</v>
      </c>
      <c r="I181" s="24">
        <v>4975.59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15">
        <v>0</v>
      </c>
    </row>
    <row r="182" spans="1:16" ht="15" hidden="1" customHeight="1" outlineLevel="1" x14ac:dyDescent="0.25">
      <c r="A182" s="20" t="s">
        <v>11</v>
      </c>
      <c r="B182" s="21" t="s">
        <v>486</v>
      </c>
      <c r="C182" s="157"/>
      <c r="D182" s="23" t="s">
        <v>164</v>
      </c>
      <c r="E182" s="20" t="s">
        <v>17</v>
      </c>
      <c r="F182" s="20" t="s">
        <v>18</v>
      </c>
      <c r="G182" s="20" t="s">
        <v>165</v>
      </c>
      <c r="H182" s="24">
        <v>0</v>
      </c>
      <c r="I182" s="24">
        <v>0</v>
      </c>
      <c r="J182" s="24">
        <v>0</v>
      </c>
      <c r="K182" s="24">
        <v>170</v>
      </c>
      <c r="L182" s="24">
        <v>170</v>
      </c>
      <c r="M182" s="24">
        <v>170</v>
      </c>
      <c r="N182" s="24">
        <v>0</v>
      </c>
      <c r="O182" s="24">
        <f t="shared" ref="O182:O187" si="21">N182</f>
        <v>0</v>
      </c>
      <c r="P182" s="215">
        <f t="shared" ref="P182:P187" si="22">N182</f>
        <v>0</v>
      </c>
    </row>
    <row r="183" spans="1:16" ht="15" hidden="1" customHeight="1" outlineLevel="1" x14ac:dyDescent="0.25">
      <c r="A183" s="20" t="s">
        <v>11</v>
      </c>
      <c r="B183" s="21" t="s">
        <v>487</v>
      </c>
      <c r="C183" s="157"/>
      <c r="D183" s="23" t="s">
        <v>166</v>
      </c>
      <c r="E183" s="20" t="s">
        <v>17</v>
      </c>
      <c r="F183" s="20" t="s">
        <v>18</v>
      </c>
      <c r="G183" s="20" t="s">
        <v>167</v>
      </c>
      <c r="H183" s="24">
        <v>2480.02</v>
      </c>
      <c r="I183" s="24">
        <v>1196.0999999999999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f t="shared" si="21"/>
        <v>0</v>
      </c>
      <c r="P183" s="215">
        <f t="shared" si="22"/>
        <v>0</v>
      </c>
    </row>
    <row r="184" spans="1:16" ht="15" hidden="1" customHeight="1" outlineLevel="1" x14ac:dyDescent="0.25">
      <c r="A184" s="20" t="s">
        <v>11</v>
      </c>
      <c r="B184" s="21" t="s">
        <v>487</v>
      </c>
      <c r="C184" s="157"/>
      <c r="D184" s="23" t="s">
        <v>166</v>
      </c>
      <c r="E184" s="20" t="s">
        <v>17</v>
      </c>
      <c r="F184" s="20" t="s">
        <v>18</v>
      </c>
      <c r="G184" s="20" t="s">
        <v>168</v>
      </c>
      <c r="H184" s="24">
        <v>0</v>
      </c>
      <c r="I184" s="24">
        <v>0</v>
      </c>
      <c r="J184" s="24">
        <v>960</v>
      </c>
      <c r="K184" s="24">
        <v>960</v>
      </c>
      <c r="L184" s="24">
        <v>960</v>
      </c>
      <c r="M184" s="24">
        <v>716.94</v>
      </c>
      <c r="N184" s="24">
        <v>960</v>
      </c>
      <c r="O184" s="24">
        <f t="shared" si="21"/>
        <v>960</v>
      </c>
      <c r="P184" s="215">
        <f t="shared" si="22"/>
        <v>960</v>
      </c>
    </row>
    <row r="185" spans="1:16" ht="15" hidden="1" customHeight="1" outlineLevel="1" x14ac:dyDescent="0.25">
      <c r="A185" s="20" t="s">
        <v>11</v>
      </c>
      <c r="B185" s="21" t="s">
        <v>487</v>
      </c>
      <c r="C185" s="157"/>
      <c r="D185" s="23" t="s">
        <v>166</v>
      </c>
      <c r="E185" s="20" t="s">
        <v>17</v>
      </c>
      <c r="F185" s="20" t="s">
        <v>18</v>
      </c>
      <c r="G185" s="20" t="s">
        <v>169</v>
      </c>
      <c r="H185" s="24">
        <v>0</v>
      </c>
      <c r="I185" s="24">
        <v>0</v>
      </c>
      <c r="J185" s="24">
        <v>0</v>
      </c>
      <c r="K185" s="24">
        <v>10</v>
      </c>
      <c r="L185" s="24">
        <v>-8.77</v>
      </c>
      <c r="M185" s="24">
        <v>-8.77</v>
      </c>
      <c r="N185" s="24">
        <v>10</v>
      </c>
      <c r="O185" s="24">
        <f t="shared" si="21"/>
        <v>10</v>
      </c>
      <c r="P185" s="215">
        <f t="shared" si="22"/>
        <v>10</v>
      </c>
    </row>
    <row r="186" spans="1:16" ht="15" hidden="1" customHeight="1" outlineLevel="1" x14ac:dyDescent="0.25">
      <c r="A186" s="20" t="s">
        <v>11</v>
      </c>
      <c r="B186" s="21" t="s">
        <v>495</v>
      </c>
      <c r="C186" s="157"/>
      <c r="D186" s="23" t="s">
        <v>166</v>
      </c>
      <c r="E186" s="20" t="s">
        <v>17</v>
      </c>
      <c r="F186" s="20" t="s">
        <v>18</v>
      </c>
      <c r="G186" s="20" t="s">
        <v>170</v>
      </c>
      <c r="H186" s="24">
        <v>0</v>
      </c>
      <c r="I186" s="24">
        <v>0</v>
      </c>
      <c r="J186" s="24">
        <v>0</v>
      </c>
      <c r="K186" s="24">
        <v>250</v>
      </c>
      <c r="L186" s="24">
        <v>201</v>
      </c>
      <c r="M186" s="24">
        <v>201</v>
      </c>
      <c r="N186" s="24">
        <v>250</v>
      </c>
      <c r="O186" s="24">
        <f t="shared" si="21"/>
        <v>250</v>
      </c>
      <c r="P186" s="215">
        <f t="shared" si="22"/>
        <v>250</v>
      </c>
    </row>
    <row r="187" spans="1:16" ht="15" hidden="1" customHeight="1" outlineLevel="1" x14ac:dyDescent="0.25">
      <c r="A187" s="20" t="s">
        <v>11</v>
      </c>
      <c r="B187" s="21" t="s">
        <v>495</v>
      </c>
      <c r="C187" s="157"/>
      <c r="D187" s="23" t="s">
        <v>208</v>
      </c>
      <c r="E187" s="20" t="s">
        <v>17</v>
      </c>
      <c r="F187" s="20" t="s">
        <v>18</v>
      </c>
      <c r="G187" s="20" t="s">
        <v>282</v>
      </c>
      <c r="H187" s="24">
        <v>0</v>
      </c>
      <c r="I187" s="24">
        <v>0</v>
      </c>
      <c r="J187" s="24">
        <v>0</v>
      </c>
      <c r="K187" s="24">
        <v>0</v>
      </c>
      <c r="L187" s="24">
        <f>M187</f>
        <v>-39.94</v>
      </c>
      <c r="M187" s="24">
        <v>-39.94</v>
      </c>
      <c r="N187" s="24">
        <v>0</v>
      </c>
      <c r="O187" s="24">
        <f t="shared" si="21"/>
        <v>0</v>
      </c>
      <c r="P187" s="215">
        <f t="shared" si="22"/>
        <v>0</v>
      </c>
    </row>
    <row r="188" spans="1:16" collapsed="1" x14ac:dyDescent="0.25">
      <c r="A188" s="20"/>
      <c r="B188" s="21"/>
      <c r="C188" s="157"/>
      <c r="D188" s="23" t="s">
        <v>478</v>
      </c>
      <c r="E188" s="20"/>
      <c r="F188" s="20"/>
      <c r="G188" s="20" t="s">
        <v>479</v>
      </c>
      <c r="H188" s="24">
        <v>67184.13</v>
      </c>
      <c r="I188" s="24">
        <v>70184.210000000006</v>
      </c>
      <c r="J188" s="24">
        <f t="shared" ref="J188:P188" si="23">SUM(J144:J187)</f>
        <v>69003.3</v>
      </c>
      <c r="K188" s="24">
        <f t="shared" si="23"/>
        <v>77723.3</v>
      </c>
      <c r="L188" s="24">
        <f t="shared" si="23"/>
        <v>59305.106699999989</v>
      </c>
      <c r="M188" s="24">
        <f t="shared" si="23"/>
        <v>40924.79</v>
      </c>
      <c r="N188" s="24">
        <f t="shared" si="23"/>
        <v>66009</v>
      </c>
      <c r="O188" s="24">
        <f t="shared" si="23"/>
        <v>66009</v>
      </c>
      <c r="P188" s="215">
        <f t="shared" si="23"/>
        <v>66009</v>
      </c>
    </row>
    <row r="189" spans="1:16" ht="15" hidden="1" customHeight="1" outlineLevel="1" x14ac:dyDescent="0.25">
      <c r="A189" s="20" t="s">
        <v>11</v>
      </c>
      <c r="B189" s="21" t="s">
        <v>491</v>
      </c>
      <c r="C189" s="157"/>
      <c r="D189" s="23" t="s">
        <v>172</v>
      </c>
      <c r="E189" s="20" t="s">
        <v>17</v>
      </c>
      <c r="F189" s="20" t="s">
        <v>18</v>
      </c>
      <c r="G189" s="20" t="s">
        <v>173</v>
      </c>
      <c r="H189" s="24">
        <v>5033.71</v>
      </c>
      <c r="I189" s="24">
        <v>6093.69</v>
      </c>
      <c r="J189" s="24">
        <v>6000</v>
      </c>
      <c r="K189" s="24">
        <v>6000</v>
      </c>
      <c r="L189" s="24">
        <v>6429.98</v>
      </c>
      <c r="M189" s="24">
        <v>6429.98</v>
      </c>
      <c r="N189" s="24">
        <v>6000</v>
      </c>
      <c r="O189" s="24">
        <f>N189</f>
        <v>6000</v>
      </c>
      <c r="P189" s="215">
        <f>N189</f>
        <v>6000</v>
      </c>
    </row>
    <row r="190" spans="1:16" ht="15" hidden="1" customHeight="1" outlineLevel="1" x14ac:dyDescent="0.25">
      <c r="A190" s="20" t="s">
        <v>11</v>
      </c>
      <c r="B190" s="21" t="s">
        <v>483</v>
      </c>
      <c r="C190" s="157"/>
      <c r="D190" s="23" t="s">
        <v>174</v>
      </c>
      <c r="E190" s="20" t="s">
        <v>17</v>
      </c>
      <c r="F190" s="20" t="s">
        <v>18</v>
      </c>
      <c r="G190" s="20" t="s">
        <v>175</v>
      </c>
      <c r="H190" s="24">
        <v>0</v>
      </c>
      <c r="I190" s="24">
        <v>0</v>
      </c>
      <c r="J190" s="24">
        <v>0</v>
      </c>
      <c r="K190" s="24">
        <v>10073</v>
      </c>
      <c r="L190" s="24">
        <f>K190</f>
        <v>10073</v>
      </c>
      <c r="M190" s="24">
        <v>10072.19</v>
      </c>
      <c r="N190" s="24">
        <v>0</v>
      </c>
      <c r="O190" s="24">
        <v>0</v>
      </c>
      <c r="P190" s="215">
        <v>0</v>
      </c>
    </row>
    <row r="191" spans="1:16" collapsed="1" x14ac:dyDescent="0.25">
      <c r="A191" s="20"/>
      <c r="B191" s="21"/>
      <c r="C191" s="157"/>
      <c r="D191" s="23" t="s">
        <v>482</v>
      </c>
      <c r="E191" s="20"/>
      <c r="F191" s="20"/>
      <c r="G191" s="20" t="s">
        <v>595</v>
      </c>
      <c r="H191" s="24">
        <f>SUM(H189:H190)</f>
        <v>5033.71</v>
      </c>
      <c r="I191" s="24">
        <f t="shared" ref="I191:P191" si="24">SUM(I189:I190)</f>
        <v>6093.69</v>
      </c>
      <c r="J191" s="24">
        <f t="shared" si="24"/>
        <v>6000</v>
      </c>
      <c r="K191" s="24">
        <f t="shared" si="24"/>
        <v>16073</v>
      </c>
      <c r="L191" s="24">
        <f t="shared" si="24"/>
        <v>16502.98</v>
      </c>
      <c r="M191" s="24">
        <f t="shared" si="24"/>
        <v>16502.169999999998</v>
      </c>
      <c r="N191" s="24">
        <f t="shared" si="24"/>
        <v>6000</v>
      </c>
      <c r="O191" s="24">
        <f t="shared" si="24"/>
        <v>6000</v>
      </c>
      <c r="P191" s="215">
        <f t="shared" si="24"/>
        <v>6000</v>
      </c>
    </row>
    <row r="192" spans="1:16" ht="15" hidden="1" customHeight="1" outlineLevel="1" x14ac:dyDescent="0.25">
      <c r="A192" s="20" t="s">
        <v>11</v>
      </c>
      <c r="B192" s="21" t="s">
        <v>529</v>
      </c>
      <c r="C192" s="157"/>
      <c r="D192" s="23" t="s">
        <v>176</v>
      </c>
      <c r="E192" s="20" t="s">
        <v>17</v>
      </c>
      <c r="F192" s="20" t="s">
        <v>18</v>
      </c>
      <c r="G192" s="20" t="s">
        <v>177</v>
      </c>
      <c r="H192" s="24">
        <v>16879.61</v>
      </c>
      <c r="I192" s="24">
        <v>15633.14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f>N192</f>
        <v>0</v>
      </c>
      <c r="P192" s="215">
        <f>N192</f>
        <v>0</v>
      </c>
    </row>
    <row r="193" spans="1:16" ht="15" hidden="1" customHeight="1" outlineLevel="1" x14ac:dyDescent="0.25">
      <c r="A193" s="20" t="s">
        <v>11</v>
      </c>
      <c r="B193" s="21" t="s">
        <v>537</v>
      </c>
      <c r="C193" s="157"/>
      <c r="D193" s="23" t="s">
        <v>176</v>
      </c>
      <c r="E193" s="20" t="s">
        <v>17</v>
      </c>
      <c r="F193" s="20" t="s">
        <v>18</v>
      </c>
      <c r="G193" s="20" t="s">
        <v>178</v>
      </c>
      <c r="H193" s="24">
        <v>0</v>
      </c>
      <c r="I193" s="24">
        <v>0</v>
      </c>
      <c r="J193" s="24">
        <v>2605</v>
      </c>
      <c r="K193" s="24">
        <v>2605</v>
      </c>
      <c r="L193" s="24">
        <v>2605</v>
      </c>
      <c r="M193" s="24">
        <v>2166.87</v>
      </c>
      <c r="N193" s="24">
        <v>2520</v>
      </c>
      <c r="O193" s="24">
        <f>N193</f>
        <v>2520</v>
      </c>
      <c r="P193" s="215">
        <f>N193</f>
        <v>2520</v>
      </c>
    </row>
    <row r="194" spans="1:16" ht="15" hidden="1" customHeight="1" outlineLevel="1" x14ac:dyDescent="0.25">
      <c r="A194" s="20" t="s">
        <v>11</v>
      </c>
      <c r="B194" s="21" t="s">
        <v>537</v>
      </c>
      <c r="C194" s="157"/>
      <c r="D194" s="23" t="s">
        <v>176</v>
      </c>
      <c r="E194" s="20" t="s">
        <v>17</v>
      </c>
      <c r="F194" s="20" t="s">
        <v>18</v>
      </c>
      <c r="G194" s="20" t="s">
        <v>179</v>
      </c>
      <c r="H194" s="24">
        <v>0</v>
      </c>
      <c r="I194" s="24">
        <v>0</v>
      </c>
      <c r="J194" s="24">
        <v>10310</v>
      </c>
      <c r="K194" s="24">
        <v>10310</v>
      </c>
      <c r="L194" s="24">
        <v>10310</v>
      </c>
      <c r="M194" s="24">
        <v>8591.94</v>
      </c>
      <c r="N194" s="24">
        <v>9800</v>
      </c>
      <c r="O194" s="24">
        <f>N194</f>
        <v>9800</v>
      </c>
      <c r="P194" s="215">
        <f>N194</f>
        <v>9800</v>
      </c>
    </row>
    <row r="195" spans="1:16" ht="15" hidden="1" customHeight="1" outlineLevel="1" x14ac:dyDescent="0.25">
      <c r="A195" s="20" t="s">
        <v>11</v>
      </c>
      <c r="B195" s="21" t="s">
        <v>514</v>
      </c>
      <c r="C195" s="157"/>
      <c r="D195" s="23" t="s">
        <v>176</v>
      </c>
      <c r="E195" s="20" t="s">
        <v>17</v>
      </c>
      <c r="F195" s="20" t="s">
        <v>18</v>
      </c>
      <c r="G195" s="20" t="s">
        <v>180</v>
      </c>
      <c r="H195" s="24">
        <v>0</v>
      </c>
      <c r="I195" s="24">
        <v>0</v>
      </c>
      <c r="J195" s="24">
        <v>2085</v>
      </c>
      <c r="K195" s="24">
        <v>2085</v>
      </c>
      <c r="L195" s="24">
        <v>2085</v>
      </c>
      <c r="M195" s="24">
        <v>923.35</v>
      </c>
      <c r="N195" s="24">
        <v>0</v>
      </c>
      <c r="O195" s="24">
        <f>N195</f>
        <v>0</v>
      </c>
      <c r="P195" s="215">
        <f>N195</f>
        <v>0</v>
      </c>
    </row>
    <row r="196" spans="1:16" ht="15.75" collapsed="1" thickBot="1" x14ac:dyDescent="0.3">
      <c r="A196" s="20"/>
      <c r="B196" s="21"/>
      <c r="C196" s="157"/>
      <c r="D196" s="30" t="s">
        <v>592</v>
      </c>
      <c r="E196" s="22"/>
      <c r="F196" s="22"/>
      <c r="G196" s="22" t="s">
        <v>596</v>
      </c>
      <c r="H196" s="29">
        <f>SUM(H192:H195)</f>
        <v>16879.61</v>
      </c>
      <c r="I196" s="29">
        <f t="shared" ref="I196:P196" si="25">SUM(I192:I195)</f>
        <v>15633.14</v>
      </c>
      <c r="J196" s="29">
        <f t="shared" si="25"/>
        <v>15000</v>
      </c>
      <c r="K196" s="29">
        <f t="shared" si="25"/>
        <v>15000</v>
      </c>
      <c r="L196" s="29">
        <f t="shared" si="25"/>
        <v>15000</v>
      </c>
      <c r="M196" s="29">
        <f t="shared" si="25"/>
        <v>11682.160000000002</v>
      </c>
      <c r="N196" s="29">
        <f t="shared" si="25"/>
        <v>12320</v>
      </c>
      <c r="O196" s="29">
        <f t="shared" si="25"/>
        <v>12320</v>
      </c>
      <c r="P196" s="217">
        <f t="shared" si="25"/>
        <v>12320</v>
      </c>
    </row>
    <row r="197" spans="1:16" ht="15.75" thickBot="1" x14ac:dyDescent="0.3">
      <c r="A197" s="48"/>
      <c r="B197" s="49"/>
      <c r="C197" s="157"/>
      <c r="D197" s="50" t="s">
        <v>593</v>
      </c>
      <c r="E197" s="51"/>
      <c r="F197" s="51"/>
      <c r="G197" s="51" t="s">
        <v>605</v>
      </c>
      <c r="H197" s="52">
        <f t="shared" ref="H197:P197" si="26">H196+H191+H188+H143+H137+H131+H113+H106+H104+H18</f>
        <v>474621.14</v>
      </c>
      <c r="I197" s="52">
        <f t="shared" si="26"/>
        <v>478551.19</v>
      </c>
      <c r="J197" s="52">
        <f t="shared" si="26"/>
        <v>532422.30000000005</v>
      </c>
      <c r="K197" s="52">
        <f t="shared" si="26"/>
        <v>567582.39</v>
      </c>
      <c r="L197" s="52">
        <f t="shared" si="26"/>
        <v>486236.08506842103</v>
      </c>
      <c r="M197" s="52">
        <f t="shared" si="26"/>
        <v>382253.85</v>
      </c>
      <c r="N197" s="52">
        <f t="shared" si="26"/>
        <v>601518</v>
      </c>
      <c r="O197" s="52">
        <f t="shared" si="26"/>
        <v>601518</v>
      </c>
      <c r="P197" s="53">
        <f t="shared" si="26"/>
        <v>601518</v>
      </c>
    </row>
    <row r="198" spans="1:16" ht="15" hidden="1" customHeight="1" outlineLevel="2" x14ac:dyDescent="0.3">
      <c r="A198" s="39" t="s">
        <v>11</v>
      </c>
      <c r="B198" s="16" t="s">
        <v>494</v>
      </c>
      <c r="C198" s="157"/>
      <c r="D198" s="58" t="s">
        <v>22</v>
      </c>
      <c r="E198" s="40" t="s">
        <v>17</v>
      </c>
      <c r="F198" s="26" t="s">
        <v>24</v>
      </c>
      <c r="G198" s="39" t="s">
        <v>25</v>
      </c>
      <c r="H198" s="42">
        <v>0</v>
      </c>
      <c r="I198" s="42">
        <v>0</v>
      </c>
      <c r="J198" s="42">
        <v>800</v>
      </c>
      <c r="K198" s="42">
        <v>800</v>
      </c>
      <c r="L198" s="42">
        <v>943.92</v>
      </c>
      <c r="M198" s="42">
        <v>543.91999999999996</v>
      </c>
      <c r="N198" s="42">
        <v>1002</v>
      </c>
      <c r="O198" s="42">
        <f t="shared" ref="O198:O210" si="27">N198</f>
        <v>1002</v>
      </c>
      <c r="P198" s="203">
        <f t="shared" ref="P198:P211" si="28">N198</f>
        <v>1002</v>
      </c>
    </row>
    <row r="199" spans="1:16" ht="15" hidden="1" customHeight="1" outlineLevel="2" x14ac:dyDescent="0.3">
      <c r="A199" s="39" t="s">
        <v>11</v>
      </c>
      <c r="B199" s="16" t="s">
        <v>494</v>
      </c>
      <c r="C199" s="157"/>
      <c r="D199" s="47" t="s">
        <v>26</v>
      </c>
      <c r="E199" s="39" t="s">
        <v>17</v>
      </c>
      <c r="F199" s="15" t="s">
        <v>24</v>
      </c>
      <c r="G199" s="39" t="s">
        <v>27</v>
      </c>
      <c r="H199" s="42">
        <v>0</v>
      </c>
      <c r="I199" s="42">
        <v>0</v>
      </c>
      <c r="J199" s="42">
        <v>366</v>
      </c>
      <c r="K199" s="42">
        <v>666</v>
      </c>
      <c r="L199" s="42">
        <v>788.06</v>
      </c>
      <c r="M199" s="42">
        <v>788.06</v>
      </c>
      <c r="N199" s="42">
        <v>1775</v>
      </c>
      <c r="O199" s="42">
        <f t="shared" si="27"/>
        <v>1775</v>
      </c>
      <c r="P199" s="203">
        <f t="shared" si="28"/>
        <v>1775</v>
      </c>
    </row>
    <row r="200" spans="1:16" ht="15" hidden="1" customHeight="1" outlineLevel="2" x14ac:dyDescent="0.3">
      <c r="A200" s="39" t="s">
        <v>11</v>
      </c>
      <c r="B200" s="16" t="s">
        <v>494</v>
      </c>
      <c r="C200" s="157"/>
      <c r="D200" s="47" t="s">
        <v>26</v>
      </c>
      <c r="E200" s="39" t="s">
        <v>17</v>
      </c>
      <c r="F200" s="15" t="s">
        <v>24</v>
      </c>
      <c r="G200" s="39" t="s">
        <v>28</v>
      </c>
      <c r="H200" s="42">
        <v>0</v>
      </c>
      <c r="I200" s="42">
        <v>0</v>
      </c>
      <c r="J200" s="42">
        <v>60</v>
      </c>
      <c r="K200" s="42">
        <v>176</v>
      </c>
      <c r="L200" s="42">
        <v>114.24</v>
      </c>
      <c r="M200" s="42">
        <v>114.24</v>
      </c>
      <c r="N200" s="42">
        <v>223</v>
      </c>
      <c r="O200" s="42">
        <f t="shared" si="27"/>
        <v>223</v>
      </c>
      <c r="P200" s="203">
        <f t="shared" si="28"/>
        <v>223</v>
      </c>
    </row>
    <row r="201" spans="1:16" ht="15" hidden="1" customHeight="1" outlineLevel="2" x14ac:dyDescent="0.3">
      <c r="A201" s="39" t="s">
        <v>11</v>
      </c>
      <c r="B201" s="16" t="s">
        <v>494</v>
      </c>
      <c r="C201" s="157"/>
      <c r="D201" s="47" t="s">
        <v>29</v>
      </c>
      <c r="E201" s="39" t="s">
        <v>17</v>
      </c>
      <c r="F201" s="15" t="s">
        <v>24</v>
      </c>
      <c r="G201" s="39" t="s">
        <v>31</v>
      </c>
      <c r="H201" s="42">
        <v>0</v>
      </c>
      <c r="I201" s="42">
        <v>0</v>
      </c>
      <c r="J201" s="42">
        <v>0</v>
      </c>
      <c r="K201" s="42">
        <v>150</v>
      </c>
      <c r="L201" s="42">
        <v>110.27</v>
      </c>
      <c r="M201" s="42">
        <v>89.27</v>
      </c>
      <c r="N201" s="42">
        <v>108</v>
      </c>
      <c r="O201" s="42">
        <f t="shared" si="27"/>
        <v>108</v>
      </c>
      <c r="P201" s="203">
        <f t="shared" si="28"/>
        <v>108</v>
      </c>
    </row>
    <row r="202" spans="1:16" ht="15" hidden="1" customHeight="1" outlineLevel="2" x14ac:dyDescent="0.3">
      <c r="A202" s="39" t="s">
        <v>11</v>
      </c>
      <c r="B202" s="16" t="s">
        <v>494</v>
      </c>
      <c r="C202" s="157"/>
      <c r="D202" s="47" t="s">
        <v>32</v>
      </c>
      <c r="E202" s="39" t="s">
        <v>17</v>
      </c>
      <c r="F202" s="15" t="s">
        <v>24</v>
      </c>
      <c r="G202" s="39" t="s">
        <v>35</v>
      </c>
      <c r="H202" s="42">
        <v>0</v>
      </c>
      <c r="I202" s="42">
        <v>0</v>
      </c>
      <c r="J202" s="42">
        <v>1716</v>
      </c>
      <c r="K202" s="42">
        <v>7670</v>
      </c>
      <c r="L202" s="42">
        <v>2108.81</v>
      </c>
      <c r="M202" s="42">
        <v>2087.81</v>
      </c>
      <c r="N202" s="42">
        <v>4200</v>
      </c>
      <c r="O202" s="42">
        <f t="shared" si="27"/>
        <v>4200</v>
      </c>
      <c r="P202" s="203">
        <f t="shared" si="28"/>
        <v>4200</v>
      </c>
    </row>
    <row r="203" spans="1:16" ht="15" hidden="1" customHeight="1" outlineLevel="2" x14ac:dyDescent="0.3">
      <c r="A203" s="39" t="s">
        <v>11</v>
      </c>
      <c r="B203" s="16" t="s">
        <v>494</v>
      </c>
      <c r="C203" s="157"/>
      <c r="D203" s="47" t="s">
        <v>36</v>
      </c>
      <c r="E203" s="39" t="s">
        <v>17</v>
      </c>
      <c r="F203" s="15" t="s">
        <v>24</v>
      </c>
      <c r="G203" s="39" t="s">
        <v>39</v>
      </c>
      <c r="H203" s="42">
        <v>0</v>
      </c>
      <c r="I203" s="42">
        <v>0</v>
      </c>
      <c r="J203" s="42">
        <v>98</v>
      </c>
      <c r="K203" s="42">
        <v>98</v>
      </c>
      <c r="L203" s="42">
        <v>396.67</v>
      </c>
      <c r="M203" s="42">
        <v>116.67</v>
      </c>
      <c r="N203" s="42">
        <v>240</v>
      </c>
      <c r="O203" s="42">
        <f t="shared" si="27"/>
        <v>240</v>
      </c>
      <c r="P203" s="203">
        <f t="shared" si="28"/>
        <v>240</v>
      </c>
    </row>
    <row r="204" spans="1:16" ht="15" hidden="1" customHeight="1" outlineLevel="2" x14ac:dyDescent="0.3">
      <c r="A204" s="39" t="s">
        <v>11</v>
      </c>
      <c r="B204" s="16" t="s">
        <v>494</v>
      </c>
      <c r="C204" s="157"/>
      <c r="D204" s="47" t="s">
        <v>40</v>
      </c>
      <c r="E204" s="39" t="s">
        <v>17</v>
      </c>
      <c r="F204" s="15" t="s">
        <v>24</v>
      </c>
      <c r="G204" s="39" t="s">
        <v>43</v>
      </c>
      <c r="H204" s="42">
        <v>0</v>
      </c>
      <c r="I204" s="42">
        <v>0</v>
      </c>
      <c r="J204" s="42">
        <v>368</v>
      </c>
      <c r="K204" s="42">
        <v>365.46</v>
      </c>
      <c r="L204" s="42">
        <v>423.42</v>
      </c>
      <c r="M204" s="42">
        <v>402.42</v>
      </c>
      <c r="N204" s="42">
        <v>900</v>
      </c>
      <c r="O204" s="42">
        <f t="shared" si="27"/>
        <v>900</v>
      </c>
      <c r="P204" s="203">
        <f t="shared" si="28"/>
        <v>900</v>
      </c>
    </row>
    <row r="205" spans="1:16" ht="15" hidden="1" customHeight="1" outlineLevel="2" x14ac:dyDescent="0.3">
      <c r="A205" s="39" t="s">
        <v>11</v>
      </c>
      <c r="B205" s="16" t="s">
        <v>494</v>
      </c>
      <c r="C205" s="157"/>
      <c r="D205" s="47" t="s">
        <v>44</v>
      </c>
      <c r="E205" s="39" t="s">
        <v>17</v>
      </c>
      <c r="F205" s="15" t="s">
        <v>24</v>
      </c>
      <c r="G205" s="39" t="s">
        <v>47</v>
      </c>
      <c r="H205" s="42">
        <v>0</v>
      </c>
      <c r="I205" s="42">
        <v>0</v>
      </c>
      <c r="J205" s="42">
        <v>20</v>
      </c>
      <c r="K205" s="42">
        <v>56.54</v>
      </c>
      <c r="L205" s="42">
        <v>84.75</v>
      </c>
      <c r="M205" s="42">
        <v>63.75</v>
      </c>
      <c r="N205" s="42">
        <v>78</v>
      </c>
      <c r="O205" s="42">
        <f t="shared" si="27"/>
        <v>78</v>
      </c>
      <c r="P205" s="203">
        <f t="shared" si="28"/>
        <v>78</v>
      </c>
    </row>
    <row r="206" spans="1:16" ht="15" hidden="1" customHeight="1" outlineLevel="2" x14ac:dyDescent="0.3">
      <c r="A206" s="39" t="s">
        <v>11</v>
      </c>
      <c r="B206" s="16" t="s">
        <v>494</v>
      </c>
      <c r="C206" s="157"/>
      <c r="D206" s="47" t="s">
        <v>48</v>
      </c>
      <c r="E206" s="39" t="s">
        <v>17</v>
      </c>
      <c r="F206" s="15" t="s">
        <v>24</v>
      </c>
      <c r="G206" s="39" t="s">
        <v>51</v>
      </c>
      <c r="H206" s="42">
        <v>0</v>
      </c>
      <c r="I206" s="42">
        <v>0</v>
      </c>
      <c r="J206" s="42">
        <v>582</v>
      </c>
      <c r="K206" s="42">
        <v>582</v>
      </c>
      <c r="L206" s="42">
        <v>727.24</v>
      </c>
      <c r="M206" s="42">
        <v>706.24</v>
      </c>
      <c r="N206" s="42">
        <v>1430</v>
      </c>
      <c r="O206" s="42">
        <f t="shared" si="27"/>
        <v>1430</v>
      </c>
      <c r="P206" s="203">
        <f t="shared" si="28"/>
        <v>1430</v>
      </c>
    </row>
    <row r="207" spans="1:16" ht="15" hidden="1" customHeight="1" outlineLevel="2" x14ac:dyDescent="0.3">
      <c r="A207" s="39" t="s">
        <v>11</v>
      </c>
      <c r="B207" s="16" t="s">
        <v>494</v>
      </c>
      <c r="C207" s="157"/>
      <c r="D207" s="47" t="s">
        <v>80</v>
      </c>
      <c r="E207" s="39" t="s">
        <v>17</v>
      </c>
      <c r="F207" s="15" t="s">
        <v>24</v>
      </c>
      <c r="G207" s="39" t="s">
        <v>81</v>
      </c>
      <c r="H207" s="42">
        <v>0</v>
      </c>
      <c r="I207" s="42">
        <v>0</v>
      </c>
      <c r="J207" s="42">
        <v>13000</v>
      </c>
      <c r="K207" s="42">
        <v>11552.26</v>
      </c>
      <c r="L207" s="42">
        <v>10807.78</v>
      </c>
      <c r="M207" s="42">
        <v>10807.78</v>
      </c>
      <c r="N207" s="42">
        <v>0</v>
      </c>
      <c r="O207" s="42">
        <f t="shared" si="27"/>
        <v>0</v>
      </c>
      <c r="P207" s="203">
        <f t="shared" si="28"/>
        <v>0</v>
      </c>
    </row>
    <row r="208" spans="1:16" ht="15" hidden="1" customHeight="1" outlineLevel="2" x14ac:dyDescent="0.3">
      <c r="A208" s="39" t="s">
        <v>11</v>
      </c>
      <c r="B208" s="16" t="s">
        <v>494</v>
      </c>
      <c r="C208" s="157"/>
      <c r="D208" s="47" t="s">
        <v>88</v>
      </c>
      <c r="E208" s="39" t="s">
        <v>17</v>
      </c>
      <c r="F208" s="15" t="s">
        <v>24</v>
      </c>
      <c r="G208" s="39" t="s">
        <v>92</v>
      </c>
      <c r="H208" s="42">
        <v>0</v>
      </c>
      <c r="I208" s="42">
        <v>0</v>
      </c>
      <c r="J208" s="42">
        <v>200</v>
      </c>
      <c r="K208" s="42">
        <v>200</v>
      </c>
      <c r="L208" s="42">
        <v>200</v>
      </c>
      <c r="M208" s="42">
        <v>84.5</v>
      </c>
      <c r="N208" s="42">
        <v>200</v>
      </c>
      <c r="O208" s="42">
        <f t="shared" si="27"/>
        <v>200</v>
      </c>
      <c r="P208" s="203">
        <f t="shared" si="28"/>
        <v>200</v>
      </c>
    </row>
    <row r="209" spans="1:16" ht="15" hidden="1" customHeight="1" outlineLevel="2" x14ac:dyDescent="0.3">
      <c r="A209" s="39" t="s">
        <v>11</v>
      </c>
      <c r="B209" s="16" t="s">
        <v>494</v>
      </c>
      <c r="C209" s="157"/>
      <c r="D209" s="47" t="s">
        <v>105</v>
      </c>
      <c r="E209" s="39" t="s">
        <v>17</v>
      </c>
      <c r="F209" s="15" t="s">
        <v>24</v>
      </c>
      <c r="G209" s="39" t="s">
        <v>106</v>
      </c>
      <c r="H209" s="42">
        <v>0</v>
      </c>
      <c r="I209" s="42">
        <v>0</v>
      </c>
      <c r="J209" s="42">
        <v>0</v>
      </c>
      <c r="K209" s="42">
        <v>1447.74</v>
      </c>
      <c r="L209" s="42">
        <f>M209</f>
        <v>1447.74</v>
      </c>
      <c r="M209" s="42">
        <v>1447.74</v>
      </c>
      <c r="N209" s="42">
        <v>0</v>
      </c>
      <c r="O209" s="42">
        <f t="shared" si="27"/>
        <v>0</v>
      </c>
      <c r="P209" s="203">
        <f t="shared" si="28"/>
        <v>0</v>
      </c>
    </row>
    <row r="210" spans="1:16" ht="15" hidden="1" customHeight="1" outlineLevel="2" x14ac:dyDescent="0.3">
      <c r="A210" s="39" t="s">
        <v>11</v>
      </c>
      <c r="B210" s="16" t="s">
        <v>494</v>
      </c>
      <c r="C210" s="157"/>
      <c r="D210" s="47" t="s">
        <v>107</v>
      </c>
      <c r="E210" s="39" t="s">
        <v>17</v>
      </c>
      <c r="F210" s="15" t="s">
        <v>24</v>
      </c>
      <c r="G210" s="39" t="s">
        <v>109</v>
      </c>
      <c r="H210" s="42">
        <v>0</v>
      </c>
      <c r="I210" s="42">
        <v>0</v>
      </c>
      <c r="J210" s="42">
        <v>330</v>
      </c>
      <c r="K210" s="42">
        <v>330</v>
      </c>
      <c r="L210" s="42">
        <v>450</v>
      </c>
      <c r="M210" s="42">
        <v>373.33</v>
      </c>
      <c r="N210" s="42">
        <v>600</v>
      </c>
      <c r="O210" s="42">
        <f t="shared" si="27"/>
        <v>600</v>
      </c>
      <c r="P210" s="203">
        <f t="shared" si="28"/>
        <v>600</v>
      </c>
    </row>
    <row r="211" spans="1:16" ht="15" hidden="1" customHeight="1" outlineLevel="2" thickBot="1" x14ac:dyDescent="0.3">
      <c r="A211" s="39" t="s">
        <v>11</v>
      </c>
      <c r="B211" s="16" t="s">
        <v>494</v>
      </c>
      <c r="C211" s="157"/>
      <c r="D211" s="59" t="s">
        <v>159</v>
      </c>
      <c r="E211" s="45" t="s">
        <v>17</v>
      </c>
      <c r="F211" s="17" t="s">
        <v>24</v>
      </c>
      <c r="G211" s="39" t="s">
        <v>161</v>
      </c>
      <c r="H211" s="42">
        <v>0</v>
      </c>
      <c r="I211" s="42">
        <v>0</v>
      </c>
      <c r="J211" s="42">
        <v>7260</v>
      </c>
      <c r="K211" s="42">
        <v>30226</v>
      </c>
      <c r="L211" s="42">
        <v>20050.98</v>
      </c>
      <c r="M211" s="42">
        <v>16050.98</v>
      </c>
      <c r="N211" s="42">
        <v>30000</v>
      </c>
      <c r="O211" s="42">
        <v>30000</v>
      </c>
      <c r="P211" s="203">
        <f t="shared" si="28"/>
        <v>30000</v>
      </c>
    </row>
    <row r="212" spans="1:16" ht="15.75" collapsed="1" thickBot="1" x14ac:dyDescent="0.3">
      <c r="A212" s="15"/>
      <c r="B212" s="16"/>
      <c r="C212" s="157"/>
      <c r="D212" s="60" t="s">
        <v>593</v>
      </c>
      <c r="E212" s="61"/>
      <c r="F212" s="61"/>
      <c r="G212" s="61" t="s">
        <v>713</v>
      </c>
      <c r="H212" s="62">
        <v>10963.63</v>
      </c>
      <c r="I212" s="62">
        <v>10886.92</v>
      </c>
      <c r="J212" s="62">
        <f t="shared" ref="J212:P212" si="29">SUM(J198:J211)</f>
        <v>24800</v>
      </c>
      <c r="K212" s="62">
        <f t="shared" si="29"/>
        <v>54320</v>
      </c>
      <c r="L212" s="62">
        <f t="shared" si="29"/>
        <v>38653.880000000005</v>
      </c>
      <c r="M212" s="62">
        <f t="shared" si="29"/>
        <v>33676.710000000006</v>
      </c>
      <c r="N212" s="62">
        <f t="shared" si="29"/>
        <v>40756</v>
      </c>
      <c r="O212" s="62">
        <f t="shared" si="29"/>
        <v>40756</v>
      </c>
      <c r="P212" s="63">
        <f t="shared" si="29"/>
        <v>40756</v>
      </c>
    </row>
    <row r="213" spans="1:16" ht="14.25" hidden="1" customHeight="1" outlineLevel="1" x14ac:dyDescent="0.3">
      <c r="A213" s="39" t="s">
        <v>11</v>
      </c>
      <c r="B213" s="16" t="s">
        <v>495</v>
      </c>
      <c r="C213" s="157"/>
      <c r="D213" s="58" t="s">
        <v>56</v>
      </c>
      <c r="E213" s="40" t="s">
        <v>17</v>
      </c>
      <c r="F213" s="26" t="s">
        <v>59</v>
      </c>
      <c r="G213" s="40" t="s">
        <v>60</v>
      </c>
      <c r="H213" s="41">
        <v>0</v>
      </c>
      <c r="I213" s="41">
        <v>0</v>
      </c>
      <c r="J213" s="41">
        <v>8000</v>
      </c>
      <c r="K213" s="41">
        <v>8000</v>
      </c>
      <c r="L213" s="41">
        <f>M213/9.5*12</f>
        <v>5043.410526315789</v>
      </c>
      <c r="M213" s="41">
        <v>3992.7</v>
      </c>
      <c r="N213" s="41">
        <v>6000</v>
      </c>
      <c r="O213" s="41">
        <f t="shared" ref="O213:O219" si="30">N213</f>
        <v>6000</v>
      </c>
      <c r="P213" s="201">
        <f t="shared" ref="P213:P219" si="31">N213</f>
        <v>6000</v>
      </c>
    </row>
    <row r="214" spans="1:16" ht="15" hidden="1" customHeight="1" outlineLevel="1" x14ac:dyDescent="0.3">
      <c r="A214" s="39" t="s">
        <v>11</v>
      </c>
      <c r="B214" s="16" t="s">
        <v>495</v>
      </c>
      <c r="C214" s="157"/>
      <c r="D214" s="47" t="s">
        <v>56</v>
      </c>
      <c r="E214" s="39" t="s">
        <v>17</v>
      </c>
      <c r="F214" s="15" t="s">
        <v>59</v>
      </c>
      <c r="G214" s="39" t="s">
        <v>61</v>
      </c>
      <c r="H214" s="42">
        <v>0</v>
      </c>
      <c r="I214" s="42">
        <v>0</v>
      </c>
      <c r="J214" s="42">
        <v>600</v>
      </c>
      <c r="K214" s="42">
        <v>600</v>
      </c>
      <c r="L214" s="42">
        <f>M214/9.5*12</f>
        <v>590.84210526315792</v>
      </c>
      <c r="M214" s="42">
        <v>467.75</v>
      </c>
      <c r="N214" s="42">
        <v>700</v>
      </c>
      <c r="O214" s="42">
        <f t="shared" si="30"/>
        <v>700</v>
      </c>
      <c r="P214" s="203">
        <f t="shared" si="31"/>
        <v>700</v>
      </c>
    </row>
    <row r="215" spans="1:16" ht="15" hidden="1" customHeight="1" outlineLevel="1" x14ac:dyDescent="0.3">
      <c r="A215" s="39" t="s">
        <v>11</v>
      </c>
      <c r="B215" s="16" t="s">
        <v>495</v>
      </c>
      <c r="C215" s="157"/>
      <c r="D215" s="47" t="s">
        <v>65</v>
      </c>
      <c r="E215" s="39" t="s">
        <v>17</v>
      </c>
      <c r="F215" s="15" t="s">
        <v>59</v>
      </c>
      <c r="G215" s="39" t="s">
        <v>67</v>
      </c>
      <c r="H215" s="42">
        <v>0</v>
      </c>
      <c r="I215" s="42">
        <v>0</v>
      </c>
      <c r="J215" s="42">
        <v>750</v>
      </c>
      <c r="K215" s="42">
        <v>750</v>
      </c>
      <c r="L215" s="42">
        <f>M215/9.5*12</f>
        <v>937.16210526315786</v>
      </c>
      <c r="M215" s="42">
        <v>741.92</v>
      </c>
      <c r="N215" s="42">
        <v>950</v>
      </c>
      <c r="O215" s="42">
        <f t="shared" si="30"/>
        <v>950</v>
      </c>
      <c r="P215" s="203">
        <f t="shared" si="31"/>
        <v>950</v>
      </c>
    </row>
    <row r="216" spans="1:16" ht="15" hidden="1" customHeight="1" outlineLevel="1" x14ac:dyDescent="0.3">
      <c r="A216" s="39" t="s">
        <v>11</v>
      </c>
      <c r="B216" s="16" t="s">
        <v>495</v>
      </c>
      <c r="C216" s="157"/>
      <c r="D216" s="47" t="s">
        <v>88</v>
      </c>
      <c r="E216" s="39" t="s">
        <v>17</v>
      </c>
      <c r="F216" s="15" t="s">
        <v>59</v>
      </c>
      <c r="G216" s="39" t="s">
        <v>95</v>
      </c>
      <c r="H216" s="42">
        <v>0</v>
      </c>
      <c r="I216" s="42">
        <v>0</v>
      </c>
      <c r="J216" s="42">
        <v>0</v>
      </c>
      <c r="K216" s="42">
        <v>691.84</v>
      </c>
      <c r="L216" s="42">
        <v>650</v>
      </c>
      <c r="M216" s="42">
        <v>28.12</v>
      </c>
      <c r="N216" s="42">
        <v>2000</v>
      </c>
      <c r="O216" s="42">
        <f t="shared" si="30"/>
        <v>2000</v>
      </c>
      <c r="P216" s="203">
        <f t="shared" si="31"/>
        <v>2000</v>
      </c>
    </row>
    <row r="217" spans="1:16" ht="15" hidden="1" customHeight="1" outlineLevel="1" x14ac:dyDescent="0.3">
      <c r="A217" s="39" t="s">
        <v>11</v>
      </c>
      <c r="B217" s="16" t="s">
        <v>495</v>
      </c>
      <c r="C217" s="157"/>
      <c r="D217" s="47" t="s">
        <v>116</v>
      </c>
      <c r="E217" s="39" t="s">
        <v>17</v>
      </c>
      <c r="F217" s="15" t="s">
        <v>59</v>
      </c>
      <c r="G217" s="39" t="s">
        <v>118</v>
      </c>
      <c r="H217" s="42">
        <v>0</v>
      </c>
      <c r="I217" s="42">
        <v>0</v>
      </c>
      <c r="J217" s="42">
        <v>0</v>
      </c>
      <c r="K217" s="42">
        <v>2114.16</v>
      </c>
      <c r="L217" s="42">
        <f>M217/9.5*12</f>
        <v>227.36842105263156</v>
      </c>
      <c r="M217" s="42">
        <v>180</v>
      </c>
      <c r="N217" s="42">
        <v>250</v>
      </c>
      <c r="O217" s="42">
        <f t="shared" si="30"/>
        <v>250</v>
      </c>
      <c r="P217" s="203">
        <f t="shared" si="31"/>
        <v>250</v>
      </c>
    </row>
    <row r="218" spans="1:16" ht="15" hidden="1" customHeight="1" outlineLevel="1" x14ac:dyDescent="0.3">
      <c r="A218" s="39" t="s">
        <v>11</v>
      </c>
      <c r="B218" s="16" t="s">
        <v>495</v>
      </c>
      <c r="C218" s="157"/>
      <c r="D218" s="47" t="s">
        <v>135</v>
      </c>
      <c r="E218" s="39" t="s">
        <v>17</v>
      </c>
      <c r="F218" s="15" t="s">
        <v>59</v>
      </c>
      <c r="G218" s="39" t="s">
        <v>136</v>
      </c>
      <c r="H218" s="42">
        <v>0</v>
      </c>
      <c r="I218" s="42">
        <v>0</v>
      </c>
      <c r="J218" s="42">
        <v>20</v>
      </c>
      <c r="K218" s="42">
        <v>120</v>
      </c>
      <c r="L218" s="42">
        <f>M218/9.5*12</f>
        <v>91.477894736842103</v>
      </c>
      <c r="M218" s="42">
        <v>72.42</v>
      </c>
      <c r="N218" s="42">
        <v>120</v>
      </c>
      <c r="O218" s="42">
        <f t="shared" si="30"/>
        <v>120</v>
      </c>
      <c r="P218" s="203">
        <f t="shared" si="31"/>
        <v>120</v>
      </c>
    </row>
    <row r="219" spans="1:16" ht="15" hidden="1" customHeight="1" outlineLevel="1" x14ac:dyDescent="0.3">
      <c r="A219" s="39" t="s">
        <v>11</v>
      </c>
      <c r="B219" s="16" t="s">
        <v>495</v>
      </c>
      <c r="C219" s="157"/>
      <c r="D219" s="59" t="s">
        <v>166</v>
      </c>
      <c r="E219" s="45" t="s">
        <v>17</v>
      </c>
      <c r="F219" s="17" t="s">
        <v>59</v>
      </c>
      <c r="G219" s="45" t="s">
        <v>171</v>
      </c>
      <c r="H219" s="64">
        <v>0</v>
      </c>
      <c r="I219" s="64">
        <v>0</v>
      </c>
      <c r="J219" s="64">
        <v>0</v>
      </c>
      <c r="K219" s="64">
        <v>1100</v>
      </c>
      <c r="L219" s="64">
        <v>1021.59</v>
      </c>
      <c r="M219" s="64">
        <v>1021.59</v>
      </c>
      <c r="N219" s="64">
        <v>0</v>
      </c>
      <c r="O219" s="64">
        <f t="shared" si="30"/>
        <v>0</v>
      </c>
      <c r="P219" s="205">
        <f t="shared" si="31"/>
        <v>0</v>
      </c>
    </row>
    <row r="220" spans="1:16" ht="15.75" collapsed="1" thickBot="1" x14ac:dyDescent="0.3">
      <c r="A220" s="15"/>
      <c r="B220" s="16"/>
      <c r="C220" s="157"/>
      <c r="D220" s="60" t="s">
        <v>593</v>
      </c>
      <c r="E220" s="61"/>
      <c r="F220" s="61"/>
      <c r="G220" s="61" t="s">
        <v>606</v>
      </c>
      <c r="H220" s="62">
        <v>0</v>
      </c>
      <c r="I220" s="62">
        <v>9931.11</v>
      </c>
      <c r="J220" s="62">
        <f t="shared" ref="J220:P220" si="32">SUM(J213:J219)</f>
        <v>9370</v>
      </c>
      <c r="K220" s="62">
        <f t="shared" si="32"/>
        <v>13376</v>
      </c>
      <c r="L220" s="62">
        <f t="shared" si="32"/>
        <v>8561.8510526315786</v>
      </c>
      <c r="M220" s="62">
        <f t="shared" si="32"/>
        <v>6504.5</v>
      </c>
      <c r="N220" s="62">
        <f t="shared" si="32"/>
        <v>10020</v>
      </c>
      <c r="O220" s="62">
        <f t="shared" si="32"/>
        <v>10020</v>
      </c>
      <c r="P220" s="63">
        <f t="shared" si="32"/>
        <v>10020</v>
      </c>
    </row>
    <row r="221" spans="1:16" ht="15" hidden="1" customHeight="1" outlineLevel="1" x14ac:dyDescent="0.25">
      <c r="A221" s="39" t="s">
        <v>11</v>
      </c>
      <c r="B221" s="16" t="s">
        <v>495</v>
      </c>
      <c r="C221" s="157"/>
      <c r="D221" s="58" t="s">
        <v>56</v>
      </c>
      <c r="E221" s="40" t="s">
        <v>17</v>
      </c>
      <c r="F221" s="26" t="s">
        <v>62</v>
      </c>
      <c r="G221" s="40" t="s">
        <v>63</v>
      </c>
      <c r="H221" s="41">
        <v>0</v>
      </c>
      <c r="I221" s="41">
        <v>0</v>
      </c>
      <c r="J221" s="41">
        <v>10000</v>
      </c>
      <c r="K221" s="41">
        <v>23437.89</v>
      </c>
      <c r="L221" s="41">
        <f>M221/10*12</f>
        <v>30195.467999999997</v>
      </c>
      <c r="M221" s="41">
        <v>25162.89</v>
      </c>
      <c r="N221" s="41">
        <v>25000</v>
      </c>
      <c r="O221" s="41">
        <f t="shared" ref="O221:O227" si="33">N221</f>
        <v>25000</v>
      </c>
      <c r="P221" s="201">
        <f t="shared" ref="P221:P227" si="34">N221</f>
        <v>25000</v>
      </c>
    </row>
    <row r="222" spans="1:16" ht="15" hidden="1" customHeight="1" outlineLevel="1" x14ac:dyDescent="0.25">
      <c r="A222" s="39" t="s">
        <v>11</v>
      </c>
      <c r="B222" s="16" t="s">
        <v>495</v>
      </c>
      <c r="C222" s="157"/>
      <c r="D222" s="47" t="s">
        <v>56</v>
      </c>
      <c r="E222" s="39" t="s">
        <v>17</v>
      </c>
      <c r="F222" s="15" t="s">
        <v>62</v>
      </c>
      <c r="G222" s="39" t="s">
        <v>64</v>
      </c>
      <c r="H222" s="42">
        <v>0</v>
      </c>
      <c r="I222" s="42">
        <v>0</v>
      </c>
      <c r="J222" s="42">
        <v>20000</v>
      </c>
      <c r="K222" s="42">
        <v>8282.11</v>
      </c>
      <c r="L222" s="42">
        <f t="shared" ref="L222:L227" si="35">M222/9.5*12</f>
        <v>10012.698947368421</v>
      </c>
      <c r="M222" s="42">
        <v>7926.72</v>
      </c>
      <c r="N222" s="42">
        <v>12000</v>
      </c>
      <c r="O222" s="42">
        <f t="shared" si="33"/>
        <v>12000</v>
      </c>
      <c r="P222" s="203">
        <f t="shared" si="34"/>
        <v>12000</v>
      </c>
    </row>
    <row r="223" spans="1:16" ht="15" hidden="1" customHeight="1" outlineLevel="1" x14ac:dyDescent="0.25">
      <c r="A223" s="39" t="s">
        <v>11</v>
      </c>
      <c r="B223" s="16" t="s">
        <v>495</v>
      </c>
      <c r="C223" s="157"/>
      <c r="D223" s="47" t="s">
        <v>65</v>
      </c>
      <c r="E223" s="39" t="s">
        <v>17</v>
      </c>
      <c r="F223" s="15" t="s">
        <v>62</v>
      </c>
      <c r="G223" s="39" t="s">
        <v>68</v>
      </c>
      <c r="H223" s="42">
        <v>0</v>
      </c>
      <c r="I223" s="42">
        <v>0</v>
      </c>
      <c r="J223" s="42">
        <v>1500</v>
      </c>
      <c r="K223" s="42">
        <v>1500</v>
      </c>
      <c r="L223" s="42">
        <f t="shared" si="35"/>
        <v>1107.4105263157894</v>
      </c>
      <c r="M223" s="42">
        <v>876.7</v>
      </c>
      <c r="N223" s="42">
        <v>1500</v>
      </c>
      <c r="O223" s="42">
        <f t="shared" si="33"/>
        <v>1500</v>
      </c>
      <c r="P223" s="203">
        <f t="shared" si="34"/>
        <v>1500</v>
      </c>
    </row>
    <row r="224" spans="1:16" ht="15" hidden="1" customHeight="1" outlineLevel="1" x14ac:dyDescent="0.25">
      <c r="A224" s="39" t="s">
        <v>11</v>
      </c>
      <c r="B224" s="16" t="s">
        <v>495</v>
      </c>
      <c r="C224" s="157"/>
      <c r="D224" s="47" t="s">
        <v>72</v>
      </c>
      <c r="E224" s="39" t="s">
        <v>17</v>
      </c>
      <c r="F224" s="15" t="s">
        <v>62</v>
      </c>
      <c r="G224" s="39" t="s">
        <v>73</v>
      </c>
      <c r="H224" s="42">
        <v>0</v>
      </c>
      <c r="I224" s="42">
        <v>0</v>
      </c>
      <c r="J224" s="42">
        <v>24</v>
      </c>
      <c r="K224" s="42">
        <v>24</v>
      </c>
      <c r="L224" s="42">
        <f t="shared" si="35"/>
        <v>30.315789473684209</v>
      </c>
      <c r="M224" s="42">
        <v>24</v>
      </c>
      <c r="N224" s="42">
        <v>50</v>
      </c>
      <c r="O224" s="42">
        <f t="shared" si="33"/>
        <v>50</v>
      </c>
      <c r="P224" s="203">
        <f t="shared" si="34"/>
        <v>50</v>
      </c>
    </row>
    <row r="225" spans="1:16" ht="15" hidden="1" customHeight="1" outlineLevel="1" x14ac:dyDescent="0.25">
      <c r="A225" s="39" t="s">
        <v>11</v>
      </c>
      <c r="B225" s="16" t="s">
        <v>495</v>
      </c>
      <c r="C225" s="157"/>
      <c r="D225" s="47" t="s">
        <v>88</v>
      </c>
      <c r="E225" s="39" t="s">
        <v>17</v>
      </c>
      <c r="F225" s="15" t="s">
        <v>62</v>
      </c>
      <c r="G225" s="39" t="s">
        <v>96</v>
      </c>
      <c r="H225" s="42">
        <v>0</v>
      </c>
      <c r="I225" s="42">
        <v>0</v>
      </c>
      <c r="J225" s="42">
        <v>5000</v>
      </c>
      <c r="K225" s="42">
        <v>1675</v>
      </c>
      <c r="L225" s="42">
        <f t="shared" si="35"/>
        <v>2333.5452631578946</v>
      </c>
      <c r="M225" s="42">
        <v>1847.39</v>
      </c>
      <c r="N225" s="42">
        <v>3000</v>
      </c>
      <c r="O225" s="42">
        <f t="shared" si="33"/>
        <v>3000</v>
      </c>
      <c r="P225" s="203">
        <f t="shared" si="34"/>
        <v>3000</v>
      </c>
    </row>
    <row r="226" spans="1:16" ht="15" hidden="1" customHeight="1" outlineLevel="1" x14ac:dyDescent="0.25">
      <c r="A226" s="39" t="s">
        <v>11</v>
      </c>
      <c r="B226" s="16" t="s">
        <v>495</v>
      </c>
      <c r="C226" s="157"/>
      <c r="D226" s="47" t="s">
        <v>116</v>
      </c>
      <c r="E226" s="39" t="s">
        <v>17</v>
      </c>
      <c r="F226" s="15" t="s">
        <v>62</v>
      </c>
      <c r="G226" s="39" t="s">
        <v>117</v>
      </c>
      <c r="H226" s="42">
        <v>0</v>
      </c>
      <c r="I226" s="42">
        <v>0</v>
      </c>
      <c r="J226" s="42">
        <v>1000</v>
      </c>
      <c r="K226" s="42">
        <v>1597</v>
      </c>
      <c r="L226" s="42">
        <f t="shared" si="35"/>
        <v>2119.5789473684208</v>
      </c>
      <c r="M226" s="42">
        <v>1678</v>
      </c>
      <c r="N226" s="42">
        <v>2500</v>
      </c>
      <c r="O226" s="42">
        <f t="shared" si="33"/>
        <v>2500</v>
      </c>
      <c r="P226" s="203">
        <f t="shared" si="34"/>
        <v>2500</v>
      </c>
    </row>
    <row r="227" spans="1:16" ht="15" hidden="1" customHeight="1" outlineLevel="1" thickBot="1" x14ac:dyDescent="0.3">
      <c r="A227" s="39" t="s">
        <v>11</v>
      </c>
      <c r="B227" s="16" t="s">
        <v>495</v>
      </c>
      <c r="C227" s="157"/>
      <c r="D227" s="59" t="s">
        <v>135</v>
      </c>
      <c r="E227" s="45" t="s">
        <v>17</v>
      </c>
      <c r="F227" s="17" t="s">
        <v>62</v>
      </c>
      <c r="G227" s="45" t="s">
        <v>136</v>
      </c>
      <c r="H227" s="64">
        <v>0</v>
      </c>
      <c r="I227" s="64">
        <v>0</v>
      </c>
      <c r="J227" s="64">
        <v>2600</v>
      </c>
      <c r="K227" s="64">
        <v>1108</v>
      </c>
      <c r="L227" s="64">
        <f t="shared" si="35"/>
        <v>136.42105263157896</v>
      </c>
      <c r="M227" s="64">
        <v>108</v>
      </c>
      <c r="N227" s="64">
        <v>200</v>
      </c>
      <c r="O227" s="64">
        <f t="shared" si="33"/>
        <v>200</v>
      </c>
      <c r="P227" s="205">
        <f t="shared" si="34"/>
        <v>200</v>
      </c>
    </row>
    <row r="228" spans="1:16" ht="15.75" collapsed="1" thickBot="1" x14ac:dyDescent="0.3">
      <c r="A228" s="15"/>
      <c r="B228" s="16"/>
      <c r="C228" s="157"/>
      <c r="D228" s="60" t="s">
        <v>593</v>
      </c>
      <c r="E228" s="61"/>
      <c r="F228" s="61"/>
      <c r="G228" s="61" t="s">
        <v>607</v>
      </c>
      <c r="H228" s="62">
        <v>41004.519999999997</v>
      </c>
      <c r="I228" s="52">
        <v>34105.839999999997</v>
      </c>
      <c r="J228" s="62">
        <f t="shared" ref="J228:P228" si="36">SUM(J221:J227)</f>
        <v>40124</v>
      </c>
      <c r="K228" s="62">
        <f t="shared" si="36"/>
        <v>37624</v>
      </c>
      <c r="L228" s="62">
        <f t="shared" si="36"/>
        <v>45935.438526315789</v>
      </c>
      <c r="M228" s="62">
        <f t="shared" si="36"/>
        <v>37623.699999999997</v>
      </c>
      <c r="N228" s="62">
        <f t="shared" si="36"/>
        <v>44250</v>
      </c>
      <c r="O228" s="62">
        <f t="shared" si="36"/>
        <v>44250</v>
      </c>
      <c r="P228" s="63">
        <f t="shared" si="36"/>
        <v>44250</v>
      </c>
    </row>
    <row r="229" spans="1:16" ht="15" hidden="1" customHeight="1" outlineLevel="2" x14ac:dyDescent="0.3">
      <c r="A229" s="39" t="s">
        <v>11</v>
      </c>
      <c r="B229" s="16" t="s">
        <v>497</v>
      </c>
      <c r="C229" s="157"/>
      <c r="D229" s="58" t="s">
        <v>88</v>
      </c>
      <c r="E229" s="40" t="s">
        <v>17</v>
      </c>
      <c r="F229" s="40" t="s">
        <v>97</v>
      </c>
      <c r="G229" s="40" t="s">
        <v>92</v>
      </c>
      <c r="H229" s="41">
        <v>0</v>
      </c>
      <c r="I229" s="41">
        <v>0</v>
      </c>
      <c r="J229" s="41">
        <v>0</v>
      </c>
      <c r="K229" s="41">
        <v>759</v>
      </c>
      <c r="L229" s="41"/>
      <c r="M229" s="41">
        <v>1743</v>
      </c>
      <c r="N229" s="41">
        <v>0</v>
      </c>
      <c r="O229" s="41">
        <f>N229</f>
        <v>0</v>
      </c>
      <c r="P229" s="201">
        <f>N229</f>
        <v>0</v>
      </c>
    </row>
    <row r="230" spans="1:16" ht="15" hidden="1" customHeight="1" outlineLevel="2" x14ac:dyDescent="0.3">
      <c r="A230" s="39" t="s">
        <v>11</v>
      </c>
      <c r="B230" s="16" t="s">
        <v>497</v>
      </c>
      <c r="C230" s="157"/>
      <c r="D230" s="47" t="s">
        <v>116</v>
      </c>
      <c r="E230" s="39" t="s">
        <v>17</v>
      </c>
      <c r="F230" s="39" t="s">
        <v>97</v>
      </c>
      <c r="G230" s="39" t="s">
        <v>117</v>
      </c>
      <c r="H230" s="42">
        <v>0</v>
      </c>
      <c r="I230" s="42">
        <v>0</v>
      </c>
      <c r="J230" s="42">
        <v>40000</v>
      </c>
      <c r="K230" s="42">
        <v>98715.520000000004</v>
      </c>
      <c r="L230" s="42"/>
      <c r="M230" s="42">
        <v>5440</v>
      </c>
      <c r="N230" s="42">
        <v>0</v>
      </c>
      <c r="O230" s="42">
        <f>N230</f>
        <v>0</v>
      </c>
      <c r="P230" s="203">
        <f>N230</f>
        <v>0</v>
      </c>
    </row>
    <row r="231" spans="1:16" ht="15" hidden="1" customHeight="1" outlineLevel="2" x14ac:dyDescent="0.3">
      <c r="A231" s="7" t="s">
        <v>11</v>
      </c>
      <c r="B231" s="49" t="s">
        <v>497</v>
      </c>
      <c r="C231" s="157"/>
      <c r="D231" s="65" t="s">
        <v>446</v>
      </c>
      <c r="E231" s="7" t="s">
        <v>17</v>
      </c>
      <c r="F231" s="7" t="s">
        <v>97</v>
      </c>
      <c r="G231" s="7" t="s">
        <v>447</v>
      </c>
      <c r="H231" s="8">
        <v>0</v>
      </c>
      <c r="I231" s="8">
        <v>0</v>
      </c>
      <c r="J231" s="8">
        <v>0</v>
      </c>
      <c r="K231" s="8">
        <v>0</v>
      </c>
      <c r="L231" s="8"/>
      <c r="M231" s="8">
        <v>13940.4</v>
      </c>
      <c r="N231" s="8"/>
      <c r="O231" s="8"/>
      <c r="P231" s="216"/>
    </row>
    <row r="232" spans="1:16" ht="15" hidden="1" customHeight="1" outlineLevel="2" x14ac:dyDescent="0.3">
      <c r="A232" s="7" t="s">
        <v>11</v>
      </c>
      <c r="B232" s="49" t="s">
        <v>497</v>
      </c>
      <c r="C232" s="157"/>
      <c r="D232" s="65" t="s">
        <v>448</v>
      </c>
      <c r="E232" s="7" t="s">
        <v>17</v>
      </c>
      <c r="F232" s="7" t="s">
        <v>97</v>
      </c>
      <c r="G232" s="7" t="s">
        <v>449</v>
      </c>
      <c r="H232" s="8">
        <v>28840.560000000001</v>
      </c>
      <c r="I232" s="8">
        <v>0</v>
      </c>
      <c r="J232" s="8">
        <v>0</v>
      </c>
      <c r="K232" s="8">
        <v>0</v>
      </c>
      <c r="L232" s="8"/>
      <c r="M232" s="8">
        <v>0</v>
      </c>
      <c r="N232" s="8"/>
      <c r="O232" s="8"/>
      <c r="P232" s="216"/>
    </row>
    <row r="233" spans="1:16" ht="15" hidden="1" customHeight="1" outlineLevel="2" x14ac:dyDescent="0.3">
      <c r="A233" s="7" t="s">
        <v>11</v>
      </c>
      <c r="B233" s="49" t="s">
        <v>497</v>
      </c>
      <c r="C233" s="157"/>
      <c r="D233" s="65" t="s">
        <v>448</v>
      </c>
      <c r="E233" s="7" t="s">
        <v>17</v>
      </c>
      <c r="F233" s="7" t="s">
        <v>97</v>
      </c>
      <c r="G233" s="7" t="s">
        <v>450</v>
      </c>
      <c r="H233" s="8">
        <v>0</v>
      </c>
      <c r="I233" s="8">
        <v>0</v>
      </c>
      <c r="J233" s="8">
        <v>0</v>
      </c>
      <c r="K233" s="8">
        <v>0</v>
      </c>
      <c r="L233" s="8"/>
      <c r="M233" s="8">
        <v>18251.8</v>
      </c>
      <c r="N233" s="8"/>
      <c r="O233" s="8"/>
      <c r="P233" s="216"/>
    </row>
    <row r="234" spans="1:16" ht="15" hidden="1" customHeight="1" outlineLevel="2" x14ac:dyDescent="0.3">
      <c r="A234" s="7" t="s">
        <v>11</v>
      </c>
      <c r="B234" s="49" t="s">
        <v>497</v>
      </c>
      <c r="C234" s="157"/>
      <c r="D234" s="55" t="s">
        <v>448</v>
      </c>
      <c r="E234" s="56" t="s">
        <v>17</v>
      </c>
      <c r="F234" s="56" t="s">
        <v>97</v>
      </c>
      <c r="G234" s="56" t="s">
        <v>451</v>
      </c>
      <c r="H234" s="57">
        <v>0</v>
      </c>
      <c r="I234" s="57">
        <v>0</v>
      </c>
      <c r="J234" s="57">
        <v>0</v>
      </c>
      <c r="K234" s="57">
        <v>0</v>
      </c>
      <c r="L234" s="57"/>
      <c r="M234" s="57">
        <v>2060.16</v>
      </c>
      <c r="N234" s="57"/>
      <c r="O234" s="57"/>
      <c r="P234" s="218"/>
    </row>
    <row r="235" spans="1:16" ht="15.75" collapsed="1" thickBot="1" x14ac:dyDescent="0.3">
      <c r="A235" s="48"/>
      <c r="B235" s="49"/>
      <c r="C235" s="157"/>
      <c r="D235" s="50" t="s">
        <v>593</v>
      </c>
      <c r="E235" s="51"/>
      <c r="F235" s="51" t="s">
        <v>97</v>
      </c>
      <c r="G235" s="51" t="s">
        <v>608</v>
      </c>
      <c r="H235" s="52">
        <v>28840.560000000001</v>
      </c>
      <c r="I235" s="52">
        <v>129000</v>
      </c>
      <c r="J235" s="52">
        <f t="shared" ref="J235:M235" si="37">SUM(J229:J234)</f>
        <v>40000</v>
      </c>
      <c r="K235" s="52">
        <f>SUM(K229:K234)</f>
        <v>99474.52</v>
      </c>
      <c r="L235" s="52">
        <v>88063.34</v>
      </c>
      <c r="M235" s="52">
        <f t="shared" si="37"/>
        <v>41435.360000000001</v>
      </c>
      <c r="N235" s="52">
        <v>40000</v>
      </c>
      <c r="O235" s="52">
        <v>40000</v>
      </c>
      <c r="P235" s="53">
        <v>40000</v>
      </c>
    </row>
    <row r="236" spans="1:16" ht="15.75" thickBot="1" x14ac:dyDescent="0.3">
      <c r="A236" s="15" t="s">
        <v>11</v>
      </c>
      <c r="B236" s="16" t="s">
        <v>534</v>
      </c>
      <c r="C236" s="157"/>
      <c r="D236" s="60" t="s">
        <v>593</v>
      </c>
      <c r="E236" s="61" t="s">
        <v>17</v>
      </c>
      <c r="F236" s="61" t="s">
        <v>98</v>
      </c>
      <c r="G236" s="61" t="s">
        <v>632</v>
      </c>
      <c r="H236" s="62">
        <v>5206.93</v>
      </c>
      <c r="I236" s="62">
        <v>0</v>
      </c>
      <c r="J236" s="62">
        <v>10000</v>
      </c>
      <c r="K236" s="62">
        <v>0</v>
      </c>
      <c r="L236" s="62">
        <v>3100</v>
      </c>
      <c r="M236" s="62">
        <v>0</v>
      </c>
      <c r="N236" s="62">
        <v>5000</v>
      </c>
      <c r="O236" s="62">
        <f t="shared" ref="O236:O252" si="38">N236</f>
        <v>5000</v>
      </c>
      <c r="P236" s="63">
        <f t="shared" ref="P236:P252" si="39">N236</f>
        <v>5000</v>
      </c>
    </row>
    <row r="237" spans="1:16" ht="15" hidden="1" customHeight="1" outlineLevel="1" x14ac:dyDescent="0.3">
      <c r="A237" s="39" t="s">
        <v>11</v>
      </c>
      <c r="B237" s="46" t="s">
        <v>504</v>
      </c>
      <c r="C237" s="157"/>
      <c r="D237" s="58" t="s">
        <v>13</v>
      </c>
      <c r="E237" s="40" t="s">
        <v>14</v>
      </c>
      <c r="F237" s="40" t="s">
        <v>15</v>
      </c>
      <c r="G237" s="40" t="s">
        <v>16</v>
      </c>
      <c r="H237" s="41">
        <v>800</v>
      </c>
      <c r="I237" s="41">
        <v>0</v>
      </c>
      <c r="J237" s="41">
        <v>0</v>
      </c>
      <c r="K237" s="41">
        <v>0</v>
      </c>
      <c r="L237" s="41">
        <v>0</v>
      </c>
      <c r="M237" s="41">
        <v>0</v>
      </c>
      <c r="N237" s="41">
        <v>0</v>
      </c>
      <c r="O237" s="41">
        <f t="shared" si="38"/>
        <v>0</v>
      </c>
      <c r="P237" s="201">
        <f t="shared" si="39"/>
        <v>0</v>
      </c>
    </row>
    <row r="238" spans="1:16" ht="15" hidden="1" customHeight="1" outlineLevel="1" x14ac:dyDescent="0.3">
      <c r="A238" s="39" t="s">
        <v>11</v>
      </c>
      <c r="B238" s="46" t="s">
        <v>504</v>
      </c>
      <c r="C238" s="157"/>
      <c r="D238" s="47" t="s">
        <v>22</v>
      </c>
      <c r="E238" s="39" t="s">
        <v>14</v>
      </c>
      <c r="F238" s="39" t="s">
        <v>15</v>
      </c>
      <c r="G238" s="39" t="s">
        <v>23</v>
      </c>
      <c r="H238" s="42">
        <v>151.78</v>
      </c>
      <c r="I238" s="42">
        <v>67.790000000000006</v>
      </c>
      <c r="J238" s="42">
        <v>0</v>
      </c>
      <c r="K238" s="42">
        <v>0</v>
      </c>
      <c r="L238" s="42">
        <v>0</v>
      </c>
      <c r="M238" s="42">
        <v>0</v>
      </c>
      <c r="N238" s="42">
        <v>0</v>
      </c>
      <c r="O238" s="42">
        <f t="shared" si="38"/>
        <v>0</v>
      </c>
      <c r="P238" s="203">
        <f t="shared" si="39"/>
        <v>0</v>
      </c>
    </row>
    <row r="239" spans="1:16" ht="15" hidden="1" customHeight="1" outlineLevel="1" x14ac:dyDescent="0.3">
      <c r="A239" s="39" t="s">
        <v>11</v>
      </c>
      <c r="B239" s="46" t="s">
        <v>504</v>
      </c>
      <c r="C239" s="157"/>
      <c r="D239" s="47" t="s">
        <v>32</v>
      </c>
      <c r="E239" s="39" t="s">
        <v>14</v>
      </c>
      <c r="F239" s="39" t="s">
        <v>15</v>
      </c>
      <c r="G239" s="39" t="s">
        <v>33</v>
      </c>
      <c r="H239" s="42">
        <v>253.8</v>
      </c>
      <c r="I239" s="42">
        <v>119.72</v>
      </c>
      <c r="J239" s="42">
        <v>0</v>
      </c>
      <c r="K239" s="42">
        <v>0</v>
      </c>
      <c r="L239" s="42">
        <v>0</v>
      </c>
      <c r="M239" s="42">
        <v>0</v>
      </c>
      <c r="N239" s="42">
        <v>0</v>
      </c>
      <c r="O239" s="42">
        <f t="shared" si="38"/>
        <v>0</v>
      </c>
      <c r="P239" s="203">
        <f t="shared" si="39"/>
        <v>0</v>
      </c>
    </row>
    <row r="240" spans="1:16" ht="15" hidden="1" customHeight="1" outlineLevel="1" x14ac:dyDescent="0.3">
      <c r="A240" s="39" t="s">
        <v>11</v>
      </c>
      <c r="B240" s="46" t="s">
        <v>504</v>
      </c>
      <c r="C240" s="157"/>
      <c r="D240" s="47" t="s">
        <v>36</v>
      </c>
      <c r="E240" s="39" t="s">
        <v>14</v>
      </c>
      <c r="F240" s="39" t="s">
        <v>15</v>
      </c>
      <c r="G240" s="39" t="s">
        <v>37</v>
      </c>
      <c r="H240" s="42">
        <v>14.51</v>
      </c>
      <c r="I240" s="42">
        <v>6.84</v>
      </c>
      <c r="J240" s="42">
        <v>0</v>
      </c>
      <c r="K240" s="42">
        <v>0</v>
      </c>
      <c r="L240" s="42">
        <v>0</v>
      </c>
      <c r="M240" s="42">
        <v>0</v>
      </c>
      <c r="N240" s="42">
        <v>0</v>
      </c>
      <c r="O240" s="42">
        <f t="shared" si="38"/>
        <v>0</v>
      </c>
      <c r="P240" s="203">
        <f t="shared" si="39"/>
        <v>0</v>
      </c>
    </row>
    <row r="241" spans="1:16" ht="15" hidden="1" customHeight="1" outlineLevel="1" x14ac:dyDescent="0.3">
      <c r="A241" s="39" t="s">
        <v>11</v>
      </c>
      <c r="B241" s="46" t="s">
        <v>504</v>
      </c>
      <c r="C241" s="157"/>
      <c r="D241" s="47" t="s">
        <v>40</v>
      </c>
      <c r="E241" s="39" t="s">
        <v>14</v>
      </c>
      <c r="F241" s="39" t="s">
        <v>15</v>
      </c>
      <c r="G241" s="39" t="s">
        <v>41</v>
      </c>
      <c r="H241" s="42">
        <v>54.38</v>
      </c>
      <c r="I241" s="42">
        <v>25.65</v>
      </c>
      <c r="J241" s="42">
        <v>0</v>
      </c>
      <c r="K241" s="42">
        <v>0</v>
      </c>
      <c r="L241" s="42">
        <v>0</v>
      </c>
      <c r="M241" s="42">
        <v>0</v>
      </c>
      <c r="N241" s="42">
        <v>0</v>
      </c>
      <c r="O241" s="42">
        <f t="shared" si="38"/>
        <v>0</v>
      </c>
      <c r="P241" s="203">
        <f t="shared" si="39"/>
        <v>0</v>
      </c>
    </row>
    <row r="242" spans="1:16" ht="15" hidden="1" customHeight="1" outlineLevel="1" x14ac:dyDescent="0.3">
      <c r="A242" s="39" t="s">
        <v>11</v>
      </c>
      <c r="B242" s="46" t="s">
        <v>504</v>
      </c>
      <c r="C242" s="157"/>
      <c r="D242" s="47" t="s">
        <v>44</v>
      </c>
      <c r="E242" s="39" t="s">
        <v>14</v>
      </c>
      <c r="F242" s="39" t="s">
        <v>15</v>
      </c>
      <c r="G242" s="39" t="s">
        <v>45</v>
      </c>
      <c r="H242" s="42">
        <v>18.13</v>
      </c>
      <c r="I242" s="42">
        <v>8.5500000000000007</v>
      </c>
      <c r="J242" s="42">
        <v>0</v>
      </c>
      <c r="K242" s="42">
        <v>0</v>
      </c>
      <c r="L242" s="42">
        <v>0</v>
      </c>
      <c r="M242" s="42">
        <v>0</v>
      </c>
      <c r="N242" s="42">
        <v>0</v>
      </c>
      <c r="O242" s="42">
        <f t="shared" si="38"/>
        <v>0</v>
      </c>
      <c r="P242" s="203">
        <f t="shared" si="39"/>
        <v>0</v>
      </c>
    </row>
    <row r="243" spans="1:16" ht="15" hidden="1" customHeight="1" outlineLevel="1" x14ac:dyDescent="0.3">
      <c r="A243" s="39" t="s">
        <v>11</v>
      </c>
      <c r="B243" s="46" t="s">
        <v>504</v>
      </c>
      <c r="C243" s="157"/>
      <c r="D243" s="47" t="s">
        <v>48</v>
      </c>
      <c r="E243" s="39" t="s">
        <v>14</v>
      </c>
      <c r="F243" s="39" t="s">
        <v>15</v>
      </c>
      <c r="G243" s="39" t="s">
        <v>49</v>
      </c>
      <c r="H243" s="42">
        <v>85.44</v>
      </c>
      <c r="I243" s="42">
        <v>40.61</v>
      </c>
      <c r="J243" s="42">
        <v>0</v>
      </c>
      <c r="K243" s="42">
        <v>0</v>
      </c>
      <c r="L243" s="42">
        <v>0</v>
      </c>
      <c r="M243" s="42">
        <v>0</v>
      </c>
      <c r="N243" s="42">
        <v>0</v>
      </c>
      <c r="O243" s="42">
        <f t="shared" si="38"/>
        <v>0</v>
      </c>
      <c r="P243" s="203">
        <f t="shared" si="39"/>
        <v>0</v>
      </c>
    </row>
    <row r="244" spans="1:16" ht="15" hidden="1" customHeight="1" outlineLevel="1" x14ac:dyDescent="0.3">
      <c r="A244" s="39" t="s">
        <v>11</v>
      </c>
      <c r="B244" s="46" t="s">
        <v>504</v>
      </c>
      <c r="C244" s="157"/>
      <c r="D244" s="47" t="s">
        <v>54</v>
      </c>
      <c r="E244" s="39" t="s">
        <v>14</v>
      </c>
      <c r="F244" s="39" t="s">
        <v>15</v>
      </c>
      <c r="G244" s="39" t="s">
        <v>196</v>
      </c>
      <c r="H244" s="42">
        <v>0</v>
      </c>
      <c r="I244" s="42">
        <v>0</v>
      </c>
      <c r="J244" s="42">
        <v>0</v>
      </c>
      <c r="K244" s="42">
        <v>0</v>
      </c>
      <c r="L244" s="42">
        <v>10</v>
      </c>
      <c r="M244" s="42">
        <v>8.8000000000000007</v>
      </c>
      <c r="N244" s="42">
        <v>10</v>
      </c>
      <c r="O244" s="42">
        <f t="shared" si="38"/>
        <v>10</v>
      </c>
      <c r="P244" s="203">
        <f t="shared" si="39"/>
        <v>10</v>
      </c>
    </row>
    <row r="245" spans="1:16" ht="15" hidden="1" customHeight="1" outlineLevel="1" x14ac:dyDescent="0.3">
      <c r="A245" s="39" t="s">
        <v>11</v>
      </c>
      <c r="B245" s="46" t="s">
        <v>504</v>
      </c>
      <c r="C245" s="157"/>
      <c r="D245" s="47" t="s">
        <v>69</v>
      </c>
      <c r="E245" s="39" t="s">
        <v>14</v>
      </c>
      <c r="F245" s="39" t="s">
        <v>15</v>
      </c>
      <c r="G245" s="39" t="s">
        <v>70</v>
      </c>
      <c r="H245" s="42">
        <v>0</v>
      </c>
      <c r="I245" s="42">
        <v>0</v>
      </c>
      <c r="J245" s="42">
        <v>30</v>
      </c>
      <c r="K245" s="42">
        <v>30</v>
      </c>
      <c r="L245" s="42">
        <f>M245/10*12</f>
        <v>36.480000000000004</v>
      </c>
      <c r="M245" s="42">
        <v>30.4</v>
      </c>
      <c r="N245" s="42">
        <v>40</v>
      </c>
      <c r="O245" s="42">
        <f t="shared" si="38"/>
        <v>40</v>
      </c>
      <c r="P245" s="203">
        <f t="shared" si="39"/>
        <v>40</v>
      </c>
    </row>
    <row r="246" spans="1:16" ht="15" hidden="1" customHeight="1" outlineLevel="1" x14ac:dyDescent="0.3">
      <c r="A246" s="39" t="s">
        <v>11</v>
      </c>
      <c r="B246" s="46" t="s">
        <v>504</v>
      </c>
      <c r="C246" s="157"/>
      <c r="D246" s="47" t="s">
        <v>74</v>
      </c>
      <c r="E246" s="39" t="s">
        <v>14</v>
      </c>
      <c r="F246" s="39" t="s">
        <v>15</v>
      </c>
      <c r="G246" s="39" t="s">
        <v>75</v>
      </c>
      <c r="H246" s="42">
        <v>65.45</v>
      </c>
      <c r="I246" s="42">
        <v>59.02</v>
      </c>
      <c r="J246" s="42">
        <v>60</v>
      </c>
      <c r="K246" s="42">
        <v>60</v>
      </c>
      <c r="L246" s="42">
        <f>M246/10*12</f>
        <v>69.972000000000008</v>
      </c>
      <c r="M246" s="42">
        <v>58.31</v>
      </c>
      <c r="N246" s="42">
        <v>70</v>
      </c>
      <c r="O246" s="42">
        <f t="shared" si="38"/>
        <v>70</v>
      </c>
      <c r="P246" s="203">
        <f t="shared" si="39"/>
        <v>70</v>
      </c>
    </row>
    <row r="247" spans="1:16" ht="15" hidden="1" customHeight="1" outlineLevel="1" x14ac:dyDescent="0.3">
      <c r="A247" s="39" t="s">
        <v>11</v>
      </c>
      <c r="B247" s="46" t="s">
        <v>504</v>
      </c>
      <c r="C247" s="157"/>
      <c r="D247" s="47" t="s">
        <v>77</v>
      </c>
      <c r="E247" s="39" t="s">
        <v>14</v>
      </c>
      <c r="F247" s="39" t="s">
        <v>15</v>
      </c>
      <c r="G247" s="39" t="s">
        <v>78</v>
      </c>
      <c r="H247" s="42">
        <v>0</v>
      </c>
      <c r="I247" s="42">
        <v>0</v>
      </c>
      <c r="J247" s="42">
        <v>1156</v>
      </c>
      <c r="K247" s="42">
        <v>1100</v>
      </c>
      <c r="L247" s="42">
        <v>1100</v>
      </c>
      <c r="M247" s="42">
        <v>0</v>
      </c>
      <c r="N247" s="42">
        <v>1000</v>
      </c>
      <c r="O247" s="42">
        <f t="shared" si="38"/>
        <v>1000</v>
      </c>
      <c r="P247" s="203">
        <f t="shared" si="39"/>
        <v>1000</v>
      </c>
    </row>
    <row r="248" spans="1:16" ht="15" hidden="1" customHeight="1" outlineLevel="1" x14ac:dyDescent="0.3">
      <c r="A248" s="39" t="s">
        <v>11</v>
      </c>
      <c r="B248" s="46" t="s">
        <v>504</v>
      </c>
      <c r="C248" s="157"/>
      <c r="D248" s="47" t="s">
        <v>84</v>
      </c>
      <c r="E248" s="39" t="s">
        <v>14</v>
      </c>
      <c r="F248" s="39" t="s">
        <v>15</v>
      </c>
      <c r="G248" s="39" t="s">
        <v>85</v>
      </c>
      <c r="H248" s="42">
        <v>0</v>
      </c>
      <c r="I248" s="42">
        <v>0</v>
      </c>
      <c r="J248" s="42">
        <v>0</v>
      </c>
      <c r="K248" s="42">
        <v>50</v>
      </c>
      <c r="L248" s="42">
        <f>M248/10*12</f>
        <v>59.640000000000008</v>
      </c>
      <c r="M248" s="42">
        <v>49.7</v>
      </c>
      <c r="N248" s="42">
        <v>50</v>
      </c>
      <c r="O248" s="42">
        <f t="shared" si="38"/>
        <v>50</v>
      </c>
      <c r="P248" s="203">
        <f t="shared" si="39"/>
        <v>50</v>
      </c>
    </row>
    <row r="249" spans="1:16" ht="15" hidden="1" customHeight="1" outlineLevel="1" x14ac:dyDescent="0.3">
      <c r="A249" s="39" t="s">
        <v>11</v>
      </c>
      <c r="B249" s="46" t="s">
        <v>504</v>
      </c>
      <c r="C249" s="157"/>
      <c r="D249" s="47" t="s">
        <v>88</v>
      </c>
      <c r="E249" s="39" t="s">
        <v>14</v>
      </c>
      <c r="F249" s="39" t="s">
        <v>15</v>
      </c>
      <c r="G249" s="39" t="s">
        <v>90</v>
      </c>
      <c r="H249" s="42">
        <v>0</v>
      </c>
      <c r="I249" s="42">
        <v>0</v>
      </c>
      <c r="J249" s="42">
        <v>350</v>
      </c>
      <c r="K249" s="42">
        <v>350</v>
      </c>
      <c r="L249" s="42">
        <f>M249/10*12</f>
        <v>190.78800000000001</v>
      </c>
      <c r="M249" s="42">
        <v>158.99</v>
      </c>
      <c r="N249" s="42">
        <v>370</v>
      </c>
      <c r="O249" s="42">
        <f t="shared" si="38"/>
        <v>370</v>
      </c>
      <c r="P249" s="203">
        <f t="shared" si="39"/>
        <v>370</v>
      </c>
    </row>
    <row r="250" spans="1:16" ht="15" hidden="1" customHeight="1" outlineLevel="1" x14ac:dyDescent="0.3">
      <c r="A250" s="39" t="s">
        <v>11</v>
      </c>
      <c r="B250" s="46" t="s">
        <v>504</v>
      </c>
      <c r="C250" s="157"/>
      <c r="D250" s="47" t="s">
        <v>88</v>
      </c>
      <c r="E250" s="39" t="s">
        <v>14</v>
      </c>
      <c r="F250" s="39" t="s">
        <v>15</v>
      </c>
      <c r="G250" s="39" t="s">
        <v>91</v>
      </c>
      <c r="H250" s="42">
        <v>0</v>
      </c>
      <c r="I250" s="42">
        <v>0</v>
      </c>
      <c r="J250" s="42">
        <v>714</v>
      </c>
      <c r="K250" s="42">
        <v>714</v>
      </c>
      <c r="L250" s="42">
        <f>M250/10*12</f>
        <v>0</v>
      </c>
      <c r="M250" s="42">
        <v>0</v>
      </c>
      <c r="N250" s="42">
        <v>734</v>
      </c>
      <c r="O250" s="42">
        <f t="shared" si="38"/>
        <v>734</v>
      </c>
      <c r="P250" s="203">
        <f t="shared" si="39"/>
        <v>734</v>
      </c>
    </row>
    <row r="251" spans="1:16" ht="15" hidden="1" customHeight="1" outlineLevel="1" x14ac:dyDescent="0.3">
      <c r="A251" s="39" t="s">
        <v>11</v>
      </c>
      <c r="B251" s="46" t="s">
        <v>504</v>
      </c>
      <c r="C251" s="157"/>
      <c r="D251" s="47" t="s">
        <v>105</v>
      </c>
      <c r="E251" s="39" t="s">
        <v>14</v>
      </c>
      <c r="F251" s="39" t="s">
        <v>15</v>
      </c>
      <c r="G251" s="39" t="s">
        <v>106</v>
      </c>
      <c r="H251" s="42">
        <v>0</v>
      </c>
      <c r="I251" s="42">
        <v>0</v>
      </c>
      <c r="J251" s="42">
        <v>10</v>
      </c>
      <c r="K251" s="42">
        <v>16</v>
      </c>
      <c r="L251" s="42">
        <f>M251/10*12</f>
        <v>12.852000000000002</v>
      </c>
      <c r="M251" s="42">
        <v>10.71</v>
      </c>
      <c r="N251" s="42">
        <v>16</v>
      </c>
      <c r="O251" s="42">
        <f t="shared" si="38"/>
        <v>16</v>
      </c>
      <c r="P251" s="203">
        <f t="shared" si="39"/>
        <v>16</v>
      </c>
    </row>
    <row r="252" spans="1:16" ht="15" hidden="1" customHeight="1" outlineLevel="1" thickBot="1" x14ac:dyDescent="0.3">
      <c r="A252" s="39" t="s">
        <v>11</v>
      </c>
      <c r="B252" s="46" t="s">
        <v>504</v>
      </c>
      <c r="C252" s="157"/>
      <c r="D252" s="59" t="s">
        <v>128</v>
      </c>
      <c r="E252" s="45" t="s">
        <v>14</v>
      </c>
      <c r="F252" s="45" t="s">
        <v>15</v>
      </c>
      <c r="G252" s="45" t="s">
        <v>129</v>
      </c>
      <c r="H252" s="64">
        <v>118</v>
      </c>
      <c r="I252" s="64">
        <v>310</v>
      </c>
      <c r="J252" s="64">
        <v>310</v>
      </c>
      <c r="K252" s="64">
        <v>310</v>
      </c>
      <c r="L252" s="64">
        <f>M252/10*12</f>
        <v>36</v>
      </c>
      <c r="M252" s="64">
        <v>30</v>
      </c>
      <c r="N252" s="64">
        <v>310</v>
      </c>
      <c r="O252" s="64">
        <f t="shared" si="38"/>
        <v>310</v>
      </c>
      <c r="P252" s="205">
        <f t="shared" si="39"/>
        <v>310</v>
      </c>
    </row>
    <row r="253" spans="1:16" ht="15.75" collapsed="1" thickBot="1" x14ac:dyDescent="0.3">
      <c r="A253" s="15"/>
      <c r="B253" s="16"/>
      <c r="C253" s="158"/>
      <c r="D253" s="60" t="s">
        <v>593</v>
      </c>
      <c r="E253" s="61"/>
      <c r="F253" s="61"/>
      <c r="G253" s="61" t="s">
        <v>609</v>
      </c>
      <c r="H253" s="62">
        <v>3052.24</v>
      </c>
      <c r="I253" s="62">
        <v>2259.66</v>
      </c>
      <c r="J253" s="62">
        <f t="shared" ref="J253:P253" si="40">SUM(J237:J252)</f>
        <v>2630</v>
      </c>
      <c r="K253" s="62">
        <f t="shared" si="40"/>
        <v>2630</v>
      </c>
      <c r="L253" s="62">
        <f t="shared" si="40"/>
        <v>1515.7320000000002</v>
      </c>
      <c r="M253" s="62">
        <f t="shared" si="40"/>
        <v>346.91</v>
      </c>
      <c r="N253" s="62">
        <f t="shared" si="40"/>
        <v>2600</v>
      </c>
      <c r="O253" s="62">
        <f t="shared" si="40"/>
        <v>2600</v>
      </c>
      <c r="P253" s="63">
        <f t="shared" si="40"/>
        <v>2600</v>
      </c>
    </row>
    <row r="254" spans="1:16" ht="15.75" thickBot="1" x14ac:dyDescent="0.3">
      <c r="A254" s="4"/>
      <c r="B254" s="11"/>
      <c r="C254" s="161" t="s">
        <v>612</v>
      </c>
      <c r="D254" s="162"/>
      <c r="E254" s="162"/>
      <c r="F254" s="162"/>
      <c r="G254" s="163" t="s">
        <v>613</v>
      </c>
      <c r="H254" s="164">
        <f>H283</f>
        <v>0</v>
      </c>
      <c r="I254" s="164">
        <f t="shared" ref="I254:P254" si="41">I283</f>
        <v>29692.100000000002</v>
      </c>
      <c r="J254" s="164">
        <f t="shared" si="41"/>
        <v>34305</v>
      </c>
      <c r="K254" s="164">
        <f t="shared" si="41"/>
        <v>34305</v>
      </c>
      <c r="L254" s="164">
        <f t="shared" si="41"/>
        <v>31121.876</v>
      </c>
      <c r="M254" s="164">
        <f t="shared" si="41"/>
        <v>25832.52</v>
      </c>
      <c r="N254" s="164">
        <f t="shared" si="41"/>
        <v>39046</v>
      </c>
      <c r="O254" s="164">
        <f t="shared" si="41"/>
        <v>39046</v>
      </c>
      <c r="P254" s="165">
        <f t="shared" si="41"/>
        <v>39046</v>
      </c>
    </row>
    <row r="255" spans="1:16" hidden="1" outlineLevel="1" x14ac:dyDescent="0.25">
      <c r="A255" s="39" t="s">
        <v>11</v>
      </c>
      <c r="B255" s="46" t="s">
        <v>490</v>
      </c>
      <c r="C255" s="136" t="s">
        <v>181</v>
      </c>
      <c r="D255" s="40" t="s">
        <v>13</v>
      </c>
      <c r="E255" s="40" t="s">
        <v>17</v>
      </c>
      <c r="F255" s="40" t="s">
        <v>182</v>
      </c>
      <c r="G255" s="40" t="s">
        <v>19</v>
      </c>
      <c r="H255" s="41">
        <v>0</v>
      </c>
      <c r="I255" s="41">
        <v>20807</v>
      </c>
      <c r="J255" s="41">
        <v>24024</v>
      </c>
      <c r="K255" s="41">
        <v>24024</v>
      </c>
      <c r="L255" s="41">
        <v>22021</v>
      </c>
      <c r="M255" s="41">
        <v>18333</v>
      </c>
      <c r="N255" s="41">
        <v>27662</v>
      </c>
      <c r="O255" s="41">
        <f t="shared" ref="O255:O281" si="42">N255</f>
        <v>27662</v>
      </c>
      <c r="P255" s="201">
        <f t="shared" ref="P255:P281" si="43">N255</f>
        <v>27662</v>
      </c>
    </row>
    <row r="256" spans="1:16" collapsed="1" x14ac:dyDescent="0.25">
      <c r="A256" s="20"/>
      <c r="B256" s="21"/>
      <c r="C256" s="245"/>
      <c r="D256" s="23" t="s">
        <v>468</v>
      </c>
      <c r="E256" s="20"/>
      <c r="F256" s="20"/>
      <c r="G256" s="39" t="s">
        <v>610</v>
      </c>
      <c r="H256" s="24">
        <f>H255</f>
        <v>0</v>
      </c>
      <c r="I256" s="24">
        <f t="shared" ref="I256:P256" si="44">I255</f>
        <v>20807</v>
      </c>
      <c r="J256" s="24">
        <f t="shared" si="44"/>
        <v>24024</v>
      </c>
      <c r="K256" s="24">
        <f t="shared" si="44"/>
        <v>24024</v>
      </c>
      <c r="L256" s="24">
        <f t="shared" si="44"/>
        <v>22021</v>
      </c>
      <c r="M256" s="24">
        <f t="shared" si="44"/>
        <v>18333</v>
      </c>
      <c r="N256" s="24">
        <f t="shared" si="44"/>
        <v>27662</v>
      </c>
      <c r="O256" s="24">
        <f t="shared" si="44"/>
        <v>27662</v>
      </c>
      <c r="P256" s="215">
        <f t="shared" si="44"/>
        <v>27662</v>
      </c>
    </row>
    <row r="257" spans="1:16" ht="15" hidden="1" customHeight="1" outlineLevel="1" x14ac:dyDescent="0.25">
      <c r="A257" s="20" t="s">
        <v>11</v>
      </c>
      <c r="B257" s="21" t="s">
        <v>490</v>
      </c>
      <c r="C257" s="248"/>
      <c r="D257" s="23" t="s">
        <v>26</v>
      </c>
      <c r="E257" s="20" t="s">
        <v>17</v>
      </c>
      <c r="F257" s="20" t="s">
        <v>182</v>
      </c>
      <c r="G257" s="20" t="s">
        <v>183</v>
      </c>
      <c r="H257" s="24">
        <v>0</v>
      </c>
      <c r="I257" s="24">
        <v>2092.6999999999998</v>
      </c>
      <c r="J257" s="24">
        <v>2403</v>
      </c>
      <c r="K257" s="24">
        <v>2403</v>
      </c>
      <c r="L257" s="24">
        <v>2212.1</v>
      </c>
      <c r="M257" s="24">
        <v>1843.3</v>
      </c>
      <c r="N257" s="24">
        <v>2767</v>
      </c>
      <c r="O257" s="24">
        <f t="shared" si="42"/>
        <v>2767</v>
      </c>
      <c r="P257" s="215">
        <f t="shared" si="43"/>
        <v>2767</v>
      </c>
    </row>
    <row r="258" spans="1:16" ht="15" hidden="1" customHeight="1" outlineLevel="1" x14ac:dyDescent="0.25">
      <c r="A258" s="20" t="s">
        <v>11</v>
      </c>
      <c r="B258" s="21" t="s">
        <v>490</v>
      </c>
      <c r="C258" s="248"/>
      <c r="D258" s="23" t="s">
        <v>52</v>
      </c>
      <c r="E258" s="20" t="s">
        <v>17</v>
      </c>
      <c r="F258" s="20" t="s">
        <v>182</v>
      </c>
      <c r="G258" s="20" t="s">
        <v>53</v>
      </c>
      <c r="H258" s="24">
        <v>0</v>
      </c>
      <c r="I258" s="24">
        <v>120</v>
      </c>
      <c r="J258" s="24">
        <v>120</v>
      </c>
      <c r="K258" s="24">
        <v>120</v>
      </c>
      <c r="L258" s="24">
        <v>120</v>
      </c>
      <c r="M258" s="24">
        <v>100</v>
      </c>
      <c r="N258" s="24">
        <v>120</v>
      </c>
      <c r="O258" s="24">
        <f t="shared" si="42"/>
        <v>120</v>
      </c>
      <c r="P258" s="215">
        <f t="shared" si="43"/>
        <v>120</v>
      </c>
    </row>
    <row r="259" spans="1:16" ht="15" hidden="1" customHeight="1" outlineLevel="1" x14ac:dyDescent="0.25">
      <c r="A259" s="20" t="s">
        <v>11</v>
      </c>
      <c r="B259" s="21" t="s">
        <v>490</v>
      </c>
      <c r="C259" s="248"/>
      <c r="D259" s="23" t="s">
        <v>29</v>
      </c>
      <c r="E259" s="20" t="s">
        <v>17</v>
      </c>
      <c r="F259" s="20" t="s">
        <v>182</v>
      </c>
      <c r="G259" s="20" t="s">
        <v>184</v>
      </c>
      <c r="H259" s="24">
        <v>0</v>
      </c>
      <c r="I259" s="24">
        <v>291.23</v>
      </c>
      <c r="J259" s="24">
        <v>337</v>
      </c>
      <c r="K259" s="24">
        <v>337</v>
      </c>
      <c r="L259" s="24">
        <v>308.23200000000003</v>
      </c>
      <c r="M259" s="24">
        <v>256.60000000000002</v>
      </c>
      <c r="N259" s="24">
        <v>387</v>
      </c>
      <c r="O259" s="24">
        <f t="shared" si="42"/>
        <v>387</v>
      </c>
      <c r="P259" s="215">
        <f t="shared" si="43"/>
        <v>387</v>
      </c>
    </row>
    <row r="260" spans="1:16" ht="15" hidden="1" customHeight="1" outlineLevel="1" x14ac:dyDescent="0.25">
      <c r="A260" s="20" t="s">
        <v>11</v>
      </c>
      <c r="B260" s="21" t="s">
        <v>490</v>
      </c>
      <c r="C260" s="248"/>
      <c r="D260" s="23" t="s">
        <v>32</v>
      </c>
      <c r="E260" s="20" t="s">
        <v>17</v>
      </c>
      <c r="F260" s="20" t="s">
        <v>182</v>
      </c>
      <c r="G260" s="20" t="s">
        <v>185</v>
      </c>
      <c r="H260" s="24">
        <v>0</v>
      </c>
      <c r="I260" s="24">
        <v>2912.98</v>
      </c>
      <c r="J260" s="24">
        <v>3364</v>
      </c>
      <c r="K260" s="24">
        <v>3364</v>
      </c>
      <c r="L260" s="24">
        <v>3082.94</v>
      </c>
      <c r="M260" s="24">
        <v>2566.62</v>
      </c>
      <c r="N260" s="24">
        <v>3873</v>
      </c>
      <c r="O260" s="24">
        <f t="shared" si="42"/>
        <v>3873</v>
      </c>
      <c r="P260" s="215">
        <f t="shared" si="43"/>
        <v>3873</v>
      </c>
    </row>
    <row r="261" spans="1:16" ht="15" hidden="1" customHeight="1" outlineLevel="1" x14ac:dyDescent="0.25">
      <c r="A261" s="20" t="s">
        <v>11</v>
      </c>
      <c r="B261" s="21" t="s">
        <v>490</v>
      </c>
      <c r="C261" s="248"/>
      <c r="D261" s="23" t="s">
        <v>36</v>
      </c>
      <c r="E261" s="20" t="s">
        <v>17</v>
      </c>
      <c r="F261" s="20" t="s">
        <v>182</v>
      </c>
      <c r="G261" s="20" t="s">
        <v>186</v>
      </c>
      <c r="H261" s="24">
        <v>0</v>
      </c>
      <c r="I261" s="24">
        <v>166.4</v>
      </c>
      <c r="J261" s="24">
        <v>193</v>
      </c>
      <c r="K261" s="24">
        <v>193</v>
      </c>
      <c r="L261" s="24">
        <v>176.13399999999999</v>
      </c>
      <c r="M261" s="24">
        <v>146.63</v>
      </c>
      <c r="N261" s="24">
        <v>221</v>
      </c>
      <c r="O261" s="24">
        <f t="shared" si="42"/>
        <v>221</v>
      </c>
      <c r="P261" s="215">
        <f t="shared" si="43"/>
        <v>221</v>
      </c>
    </row>
    <row r="262" spans="1:16" ht="15" hidden="1" customHeight="1" outlineLevel="1" x14ac:dyDescent="0.25">
      <c r="A262" s="20" t="s">
        <v>11</v>
      </c>
      <c r="B262" s="21" t="s">
        <v>490</v>
      </c>
      <c r="C262" s="248"/>
      <c r="D262" s="23" t="s">
        <v>40</v>
      </c>
      <c r="E262" s="20" t="s">
        <v>17</v>
      </c>
      <c r="F262" s="20" t="s">
        <v>182</v>
      </c>
      <c r="G262" s="20" t="s">
        <v>187</v>
      </c>
      <c r="H262" s="24">
        <v>0</v>
      </c>
      <c r="I262" s="24">
        <v>624.21</v>
      </c>
      <c r="J262" s="24">
        <v>721</v>
      </c>
      <c r="K262" s="24">
        <v>721</v>
      </c>
      <c r="L262" s="24">
        <v>660.63</v>
      </c>
      <c r="M262" s="24">
        <v>549.99</v>
      </c>
      <c r="N262" s="24">
        <v>830</v>
      </c>
      <c r="O262" s="24">
        <f t="shared" si="42"/>
        <v>830</v>
      </c>
      <c r="P262" s="215">
        <f t="shared" si="43"/>
        <v>830</v>
      </c>
    </row>
    <row r="263" spans="1:16" ht="15" hidden="1" customHeight="1" outlineLevel="1" x14ac:dyDescent="0.25">
      <c r="A263" s="20" t="s">
        <v>11</v>
      </c>
      <c r="B263" s="21" t="s">
        <v>490</v>
      </c>
      <c r="C263" s="248"/>
      <c r="D263" s="23" t="s">
        <v>44</v>
      </c>
      <c r="E263" s="20" t="s">
        <v>17</v>
      </c>
      <c r="F263" s="20" t="s">
        <v>182</v>
      </c>
      <c r="G263" s="20" t="s">
        <v>47</v>
      </c>
      <c r="H263" s="24">
        <v>0</v>
      </c>
      <c r="I263" s="24">
        <v>208.07</v>
      </c>
      <c r="J263" s="24">
        <v>241</v>
      </c>
      <c r="K263" s="24">
        <v>241</v>
      </c>
      <c r="L263" s="24">
        <v>220.21</v>
      </c>
      <c r="M263" s="24">
        <v>183.33</v>
      </c>
      <c r="N263" s="24">
        <v>277</v>
      </c>
      <c r="O263" s="24">
        <f t="shared" si="42"/>
        <v>277</v>
      </c>
      <c r="P263" s="215">
        <f t="shared" si="43"/>
        <v>277</v>
      </c>
    </row>
    <row r="264" spans="1:16" ht="15" hidden="1" customHeight="1" outlineLevel="1" x14ac:dyDescent="0.25">
      <c r="A264" s="20" t="s">
        <v>11</v>
      </c>
      <c r="B264" s="21" t="s">
        <v>490</v>
      </c>
      <c r="C264" s="248"/>
      <c r="D264" s="23" t="s">
        <v>48</v>
      </c>
      <c r="E264" s="20" t="s">
        <v>17</v>
      </c>
      <c r="F264" s="20" t="s">
        <v>182</v>
      </c>
      <c r="G264" s="20" t="s">
        <v>188</v>
      </c>
      <c r="H264" s="24">
        <v>0</v>
      </c>
      <c r="I264" s="24">
        <v>988.27</v>
      </c>
      <c r="J264" s="24">
        <v>1142</v>
      </c>
      <c r="K264" s="24">
        <v>1142</v>
      </c>
      <c r="L264" s="24">
        <v>1045.97</v>
      </c>
      <c r="M264" s="24">
        <v>870.79</v>
      </c>
      <c r="N264" s="24">
        <v>1314</v>
      </c>
      <c r="O264" s="24">
        <f t="shared" si="42"/>
        <v>1314</v>
      </c>
      <c r="P264" s="215">
        <f t="shared" si="43"/>
        <v>1314</v>
      </c>
    </row>
    <row r="265" spans="1:16" collapsed="1" x14ac:dyDescent="0.25">
      <c r="A265" s="20"/>
      <c r="B265" s="21"/>
      <c r="C265" s="248"/>
      <c r="D265" s="23" t="s">
        <v>469</v>
      </c>
      <c r="E265" s="20"/>
      <c r="F265" s="20"/>
      <c r="G265" s="39" t="s">
        <v>472</v>
      </c>
      <c r="H265" s="24">
        <f>SUM(H257:H264)</f>
        <v>0</v>
      </c>
      <c r="I265" s="24">
        <f t="shared" ref="I265:P265" si="45">SUM(I257:I264)</f>
        <v>7403.8599999999988</v>
      </c>
      <c r="J265" s="24">
        <f t="shared" si="45"/>
        <v>8521</v>
      </c>
      <c r="K265" s="24">
        <f t="shared" si="45"/>
        <v>8521</v>
      </c>
      <c r="L265" s="24">
        <f t="shared" si="45"/>
        <v>7826.2160000000003</v>
      </c>
      <c r="M265" s="24">
        <f t="shared" si="45"/>
        <v>6517.26</v>
      </c>
      <c r="N265" s="24">
        <f t="shared" si="45"/>
        <v>9789</v>
      </c>
      <c r="O265" s="24">
        <f t="shared" si="45"/>
        <v>9789</v>
      </c>
      <c r="P265" s="215">
        <f t="shared" si="45"/>
        <v>9789</v>
      </c>
    </row>
    <row r="266" spans="1:16" ht="15" hidden="1" customHeight="1" outlineLevel="1" x14ac:dyDescent="0.25">
      <c r="A266" s="20" t="s">
        <v>11</v>
      </c>
      <c r="B266" s="21" t="s">
        <v>490</v>
      </c>
      <c r="C266" s="248"/>
      <c r="D266" s="23" t="s">
        <v>54</v>
      </c>
      <c r="E266" s="20" t="s">
        <v>17</v>
      </c>
      <c r="F266" s="20" t="s">
        <v>182</v>
      </c>
      <c r="G266" s="20" t="s">
        <v>55</v>
      </c>
      <c r="H266" s="24">
        <v>0</v>
      </c>
      <c r="I266" s="24">
        <v>59.3</v>
      </c>
      <c r="J266" s="24">
        <v>60</v>
      </c>
      <c r="K266" s="24">
        <v>60</v>
      </c>
      <c r="L266" s="24">
        <v>60</v>
      </c>
      <c r="M266" s="24">
        <v>34.6</v>
      </c>
      <c r="N266" s="24">
        <v>60</v>
      </c>
      <c r="O266" s="24">
        <f t="shared" si="42"/>
        <v>60</v>
      </c>
      <c r="P266" s="215">
        <f t="shared" si="43"/>
        <v>60</v>
      </c>
    </row>
    <row r="267" spans="1:16" collapsed="1" x14ac:dyDescent="0.25">
      <c r="A267" s="20"/>
      <c r="B267" s="21"/>
      <c r="C267" s="248"/>
      <c r="D267" s="23" t="s">
        <v>480</v>
      </c>
      <c r="E267" s="20"/>
      <c r="F267" s="20"/>
      <c r="G267" s="39" t="s">
        <v>55</v>
      </c>
      <c r="H267" s="24">
        <f>SUM(H266)</f>
        <v>0</v>
      </c>
      <c r="I267" s="24">
        <f t="shared" ref="I267:P267" si="46">SUM(I266)</f>
        <v>59.3</v>
      </c>
      <c r="J267" s="24">
        <f t="shared" si="46"/>
        <v>60</v>
      </c>
      <c r="K267" s="24">
        <f t="shared" si="46"/>
        <v>60</v>
      </c>
      <c r="L267" s="24">
        <f t="shared" si="46"/>
        <v>60</v>
      </c>
      <c r="M267" s="24">
        <f t="shared" si="46"/>
        <v>34.6</v>
      </c>
      <c r="N267" s="24">
        <f t="shared" si="46"/>
        <v>60</v>
      </c>
      <c r="O267" s="24">
        <f t="shared" si="46"/>
        <v>60</v>
      </c>
      <c r="P267" s="215">
        <f t="shared" si="46"/>
        <v>60</v>
      </c>
    </row>
    <row r="268" spans="1:16" ht="15" hidden="1" customHeight="1" outlineLevel="1" x14ac:dyDescent="0.25">
      <c r="A268" s="20" t="s">
        <v>11</v>
      </c>
      <c r="B268" s="21" t="s">
        <v>490</v>
      </c>
      <c r="C268" s="248"/>
      <c r="D268" s="23" t="s">
        <v>56</v>
      </c>
      <c r="E268" s="20" t="s">
        <v>17</v>
      </c>
      <c r="F268" s="20" t="s">
        <v>182</v>
      </c>
      <c r="G268" s="20" t="s">
        <v>189</v>
      </c>
      <c r="H268" s="24">
        <v>0</v>
      </c>
      <c r="I268" s="24">
        <v>163.63999999999999</v>
      </c>
      <c r="J268" s="24">
        <v>100</v>
      </c>
      <c r="K268" s="24">
        <v>100</v>
      </c>
      <c r="L268" s="24">
        <f t="shared" ref="L268:L275" si="47">M268/10*12</f>
        <v>75.036000000000001</v>
      </c>
      <c r="M268" s="24">
        <v>62.53</v>
      </c>
      <c r="N268" s="24">
        <v>100</v>
      </c>
      <c r="O268" s="24">
        <f t="shared" si="42"/>
        <v>100</v>
      </c>
      <c r="P268" s="215">
        <f t="shared" si="43"/>
        <v>100</v>
      </c>
    </row>
    <row r="269" spans="1:16" ht="15" hidden="1" customHeight="1" outlineLevel="1" x14ac:dyDescent="0.25">
      <c r="A269" s="20" t="s">
        <v>11</v>
      </c>
      <c r="B269" s="21" t="s">
        <v>490</v>
      </c>
      <c r="C269" s="248"/>
      <c r="D269" s="23" t="s">
        <v>56</v>
      </c>
      <c r="E269" s="20" t="s">
        <v>17</v>
      </c>
      <c r="F269" s="20" t="s">
        <v>182</v>
      </c>
      <c r="G269" s="20" t="s">
        <v>57</v>
      </c>
      <c r="H269" s="24">
        <v>0</v>
      </c>
      <c r="I269" s="24">
        <v>0</v>
      </c>
      <c r="J269" s="24">
        <v>100</v>
      </c>
      <c r="K269" s="24">
        <v>100</v>
      </c>
      <c r="L269" s="24">
        <f t="shared" si="47"/>
        <v>51.588000000000008</v>
      </c>
      <c r="M269" s="24">
        <v>42.99</v>
      </c>
      <c r="N269" s="24">
        <v>60</v>
      </c>
      <c r="O269" s="24">
        <f t="shared" si="42"/>
        <v>60</v>
      </c>
      <c r="P269" s="215">
        <f t="shared" si="43"/>
        <v>60</v>
      </c>
    </row>
    <row r="270" spans="1:16" ht="15" hidden="1" customHeight="1" outlineLevel="1" x14ac:dyDescent="0.25">
      <c r="A270" s="20" t="s">
        <v>11</v>
      </c>
      <c r="B270" s="21" t="s">
        <v>490</v>
      </c>
      <c r="C270" s="248"/>
      <c r="D270" s="23" t="s">
        <v>56</v>
      </c>
      <c r="E270" s="20" t="s">
        <v>17</v>
      </c>
      <c r="F270" s="20" t="s">
        <v>182</v>
      </c>
      <c r="G270" s="20" t="s">
        <v>190</v>
      </c>
      <c r="H270" s="24">
        <v>0</v>
      </c>
      <c r="I270" s="24">
        <v>0</v>
      </c>
      <c r="J270" s="24">
        <v>80</v>
      </c>
      <c r="K270" s="24">
        <v>80</v>
      </c>
      <c r="L270" s="24">
        <f t="shared" si="47"/>
        <v>14.364000000000001</v>
      </c>
      <c r="M270" s="24">
        <v>11.97</v>
      </c>
      <c r="N270" s="24">
        <v>25</v>
      </c>
      <c r="O270" s="24">
        <f t="shared" si="42"/>
        <v>25</v>
      </c>
      <c r="P270" s="215">
        <f t="shared" si="43"/>
        <v>25</v>
      </c>
    </row>
    <row r="271" spans="1:16" ht="15" hidden="1" customHeight="1" outlineLevel="1" x14ac:dyDescent="0.25">
      <c r="A271" s="20" t="s">
        <v>11</v>
      </c>
      <c r="B271" s="21" t="s">
        <v>490</v>
      </c>
      <c r="C271" s="248"/>
      <c r="D271" s="23" t="s">
        <v>74</v>
      </c>
      <c r="E271" s="20" t="s">
        <v>17</v>
      </c>
      <c r="F271" s="20" t="s">
        <v>182</v>
      </c>
      <c r="G271" s="20" t="s">
        <v>191</v>
      </c>
      <c r="H271" s="24">
        <v>0</v>
      </c>
      <c r="I271" s="24">
        <v>59.02</v>
      </c>
      <c r="J271" s="24">
        <v>70</v>
      </c>
      <c r="K271" s="24">
        <v>70</v>
      </c>
      <c r="L271" s="24">
        <f t="shared" si="47"/>
        <v>69.972000000000008</v>
      </c>
      <c r="M271" s="24">
        <v>58.31</v>
      </c>
      <c r="N271" s="24">
        <v>75</v>
      </c>
      <c r="O271" s="24">
        <f t="shared" si="42"/>
        <v>75</v>
      </c>
      <c r="P271" s="215">
        <f t="shared" si="43"/>
        <v>75</v>
      </c>
    </row>
    <row r="272" spans="1:16" collapsed="1" x14ac:dyDescent="0.25">
      <c r="A272" s="20"/>
      <c r="B272" s="21"/>
      <c r="C272" s="248"/>
      <c r="D272" s="23" t="s">
        <v>481</v>
      </c>
      <c r="E272" s="20"/>
      <c r="F272" s="20"/>
      <c r="G272" s="39" t="s">
        <v>567</v>
      </c>
      <c r="H272" s="24">
        <f>SUM(H268:H271)</f>
        <v>0</v>
      </c>
      <c r="I272" s="24">
        <f t="shared" ref="I272:P272" si="48">SUM(I268:I271)</f>
        <v>222.66</v>
      </c>
      <c r="J272" s="24">
        <f t="shared" si="48"/>
        <v>350</v>
      </c>
      <c r="K272" s="24">
        <f t="shared" si="48"/>
        <v>350</v>
      </c>
      <c r="L272" s="24">
        <f t="shared" si="48"/>
        <v>210.96</v>
      </c>
      <c r="M272" s="24">
        <f t="shared" si="48"/>
        <v>175.8</v>
      </c>
      <c r="N272" s="24">
        <f t="shared" si="48"/>
        <v>260</v>
      </c>
      <c r="O272" s="24">
        <f t="shared" si="48"/>
        <v>260</v>
      </c>
      <c r="P272" s="215">
        <f t="shared" si="48"/>
        <v>260</v>
      </c>
    </row>
    <row r="273" spans="1:16" ht="13.5" hidden="1" customHeight="1" outlineLevel="1" x14ac:dyDescent="0.25">
      <c r="A273" s="20" t="s">
        <v>11</v>
      </c>
      <c r="B273" s="21" t="s">
        <v>490</v>
      </c>
      <c r="C273" s="248"/>
      <c r="D273" s="23" t="s">
        <v>88</v>
      </c>
      <c r="E273" s="20" t="s">
        <v>17</v>
      </c>
      <c r="F273" s="20" t="s">
        <v>182</v>
      </c>
      <c r="G273" s="20" t="s">
        <v>192</v>
      </c>
      <c r="H273" s="24">
        <v>0</v>
      </c>
      <c r="I273" s="24">
        <v>16.63</v>
      </c>
      <c r="J273" s="24">
        <v>30</v>
      </c>
      <c r="K273" s="24">
        <v>50</v>
      </c>
      <c r="L273" s="24">
        <f t="shared" si="47"/>
        <v>58.427999999999997</v>
      </c>
      <c r="M273" s="24">
        <v>48.69</v>
      </c>
      <c r="N273" s="24">
        <v>60</v>
      </c>
      <c r="O273" s="24">
        <f t="shared" si="42"/>
        <v>60</v>
      </c>
      <c r="P273" s="215">
        <f t="shared" si="43"/>
        <v>60</v>
      </c>
    </row>
    <row r="274" spans="1:16" ht="15" hidden="1" customHeight="1" outlineLevel="1" x14ac:dyDescent="0.25">
      <c r="A274" s="20" t="s">
        <v>11</v>
      </c>
      <c r="B274" s="21" t="s">
        <v>490</v>
      </c>
      <c r="C274" s="248"/>
      <c r="D274" s="23" t="s">
        <v>103</v>
      </c>
      <c r="E274" s="20" t="s">
        <v>17</v>
      </c>
      <c r="F274" s="20" t="s">
        <v>182</v>
      </c>
      <c r="G274" s="20" t="s">
        <v>104</v>
      </c>
      <c r="H274" s="24">
        <v>0</v>
      </c>
      <c r="I274" s="24">
        <v>44.95</v>
      </c>
      <c r="J274" s="24">
        <v>50</v>
      </c>
      <c r="K274" s="24">
        <v>46.29</v>
      </c>
      <c r="L274" s="24">
        <f t="shared" si="47"/>
        <v>23.664000000000001</v>
      </c>
      <c r="M274" s="24">
        <v>19.72</v>
      </c>
      <c r="N274" s="24">
        <v>50</v>
      </c>
      <c r="O274" s="24">
        <f t="shared" si="42"/>
        <v>50</v>
      </c>
      <c r="P274" s="215">
        <f t="shared" si="43"/>
        <v>50</v>
      </c>
    </row>
    <row r="275" spans="1:16" ht="15" hidden="1" customHeight="1" outlineLevel="1" x14ac:dyDescent="0.25">
      <c r="A275" s="20" t="s">
        <v>11</v>
      </c>
      <c r="B275" s="21" t="s">
        <v>490</v>
      </c>
      <c r="C275" s="248"/>
      <c r="D275" s="23" t="s">
        <v>105</v>
      </c>
      <c r="E275" s="20" t="s">
        <v>17</v>
      </c>
      <c r="F275" s="20" t="s">
        <v>182</v>
      </c>
      <c r="G275" s="20" t="s">
        <v>106</v>
      </c>
      <c r="H275" s="24">
        <v>0</v>
      </c>
      <c r="I275" s="24">
        <v>16.3</v>
      </c>
      <c r="J275" s="24">
        <v>27</v>
      </c>
      <c r="K275" s="24">
        <v>10.71</v>
      </c>
      <c r="L275" s="24">
        <f t="shared" si="47"/>
        <v>12.852000000000002</v>
      </c>
      <c r="M275" s="24">
        <v>10.71</v>
      </c>
      <c r="N275" s="24">
        <v>27</v>
      </c>
      <c r="O275" s="24">
        <f t="shared" si="42"/>
        <v>27</v>
      </c>
      <c r="P275" s="215">
        <f t="shared" si="43"/>
        <v>27</v>
      </c>
    </row>
    <row r="276" spans="1:16" collapsed="1" x14ac:dyDescent="0.25">
      <c r="A276" s="20"/>
      <c r="B276" s="21"/>
      <c r="C276" s="248"/>
      <c r="D276" s="23" t="s">
        <v>470</v>
      </c>
      <c r="E276" s="20"/>
      <c r="F276" s="20"/>
      <c r="G276" s="39" t="s">
        <v>471</v>
      </c>
      <c r="H276" s="24">
        <f>SUM(H273:H275)</f>
        <v>0</v>
      </c>
      <c r="I276" s="24">
        <f t="shared" ref="I276:P276" si="49">SUM(I273:I275)</f>
        <v>77.88</v>
      </c>
      <c r="J276" s="24">
        <f t="shared" si="49"/>
        <v>107</v>
      </c>
      <c r="K276" s="24">
        <f t="shared" si="49"/>
        <v>107</v>
      </c>
      <c r="L276" s="24">
        <f t="shared" si="49"/>
        <v>94.944000000000003</v>
      </c>
      <c r="M276" s="24">
        <f t="shared" si="49"/>
        <v>79.12</v>
      </c>
      <c r="N276" s="24">
        <f t="shared" si="49"/>
        <v>137</v>
      </c>
      <c r="O276" s="24">
        <f t="shared" si="49"/>
        <v>137</v>
      </c>
      <c r="P276" s="215">
        <f t="shared" si="49"/>
        <v>137</v>
      </c>
    </row>
    <row r="277" spans="1:16" ht="15" hidden="1" customHeight="1" outlineLevel="1" x14ac:dyDescent="0.25">
      <c r="A277" s="20" t="s">
        <v>11</v>
      </c>
      <c r="B277" s="21" t="s">
        <v>490</v>
      </c>
      <c r="C277" s="248"/>
      <c r="D277" s="23" t="s">
        <v>128</v>
      </c>
      <c r="E277" s="20" t="s">
        <v>17</v>
      </c>
      <c r="F277" s="20" t="s">
        <v>182</v>
      </c>
      <c r="G277" s="20" t="s">
        <v>129</v>
      </c>
      <c r="H277" s="24">
        <v>0</v>
      </c>
      <c r="I277" s="24">
        <v>366</v>
      </c>
      <c r="J277" s="24">
        <v>400</v>
      </c>
      <c r="K277" s="24">
        <v>400</v>
      </c>
      <c r="L277" s="24">
        <v>224.01599999999999</v>
      </c>
      <c r="M277" s="24">
        <v>186.68</v>
      </c>
      <c r="N277" s="24">
        <v>250</v>
      </c>
      <c r="O277" s="24">
        <f t="shared" si="42"/>
        <v>250</v>
      </c>
      <c r="P277" s="215">
        <f t="shared" si="43"/>
        <v>250</v>
      </c>
    </row>
    <row r="278" spans="1:16" ht="15" hidden="1" customHeight="1" outlineLevel="1" x14ac:dyDescent="0.25">
      <c r="A278" s="20" t="s">
        <v>11</v>
      </c>
      <c r="B278" s="21" t="s">
        <v>490</v>
      </c>
      <c r="C278" s="248"/>
      <c r="D278" s="23" t="s">
        <v>151</v>
      </c>
      <c r="E278" s="20" t="s">
        <v>17</v>
      </c>
      <c r="F278" s="20" t="s">
        <v>182</v>
      </c>
      <c r="G278" s="20" t="s">
        <v>152</v>
      </c>
      <c r="H278" s="24">
        <v>0</v>
      </c>
      <c r="I278" s="24">
        <v>426.75</v>
      </c>
      <c r="J278" s="24">
        <v>477</v>
      </c>
      <c r="K278" s="24">
        <v>477</v>
      </c>
      <c r="L278" s="24">
        <v>416.72</v>
      </c>
      <c r="M278" s="24">
        <v>324.92</v>
      </c>
      <c r="N278" s="24">
        <v>561</v>
      </c>
      <c r="O278" s="24">
        <f t="shared" si="42"/>
        <v>561</v>
      </c>
      <c r="P278" s="215">
        <f t="shared" si="43"/>
        <v>561</v>
      </c>
    </row>
    <row r="279" spans="1:16" ht="15" hidden="1" customHeight="1" outlineLevel="1" x14ac:dyDescent="0.25">
      <c r="A279" s="20" t="s">
        <v>11</v>
      </c>
      <c r="B279" s="21" t="s">
        <v>490</v>
      </c>
      <c r="C279" s="248"/>
      <c r="D279" s="23" t="s">
        <v>155</v>
      </c>
      <c r="E279" s="20" t="s">
        <v>17</v>
      </c>
      <c r="F279" s="20" t="s">
        <v>182</v>
      </c>
      <c r="G279" s="20" t="s">
        <v>156</v>
      </c>
      <c r="H279" s="24">
        <v>0</v>
      </c>
      <c r="I279" s="24">
        <v>278.64999999999998</v>
      </c>
      <c r="J279" s="24">
        <v>316</v>
      </c>
      <c r="K279" s="24">
        <v>316</v>
      </c>
      <c r="L279" s="24">
        <v>218.01999999999998</v>
      </c>
      <c r="M279" s="24">
        <v>181.14</v>
      </c>
      <c r="N279" s="24">
        <v>277</v>
      </c>
      <c r="O279" s="24">
        <f t="shared" si="42"/>
        <v>277</v>
      </c>
      <c r="P279" s="215">
        <f t="shared" si="43"/>
        <v>277</v>
      </c>
    </row>
    <row r="280" spans="1:16" collapsed="1" x14ac:dyDescent="0.25">
      <c r="A280" s="20"/>
      <c r="B280" s="21"/>
      <c r="C280" s="248"/>
      <c r="D280" s="23" t="s">
        <v>478</v>
      </c>
      <c r="E280" s="20"/>
      <c r="F280" s="20"/>
      <c r="G280" s="39" t="s">
        <v>479</v>
      </c>
      <c r="H280" s="24">
        <f>SUM(H277:H279)</f>
        <v>0</v>
      </c>
      <c r="I280" s="24">
        <f t="shared" ref="I280:P280" si="50">SUM(I277:I279)</f>
        <v>1071.4000000000001</v>
      </c>
      <c r="J280" s="24">
        <f t="shared" si="50"/>
        <v>1193</v>
      </c>
      <c r="K280" s="24">
        <f t="shared" si="50"/>
        <v>1193</v>
      </c>
      <c r="L280" s="24">
        <f t="shared" si="50"/>
        <v>858.75599999999997</v>
      </c>
      <c r="M280" s="24">
        <f t="shared" si="50"/>
        <v>692.74</v>
      </c>
      <c r="N280" s="24">
        <f t="shared" si="50"/>
        <v>1088</v>
      </c>
      <c r="O280" s="24">
        <f t="shared" si="50"/>
        <v>1088</v>
      </c>
      <c r="P280" s="215">
        <f t="shared" si="50"/>
        <v>1088</v>
      </c>
    </row>
    <row r="281" spans="1:16" ht="15" hidden="1" customHeight="1" outlineLevel="1" x14ac:dyDescent="0.25">
      <c r="A281" s="20" t="s">
        <v>11</v>
      </c>
      <c r="B281" s="21" t="s">
        <v>490</v>
      </c>
      <c r="C281" s="248"/>
      <c r="D281" s="23" t="s">
        <v>172</v>
      </c>
      <c r="E281" s="20" t="s">
        <v>17</v>
      </c>
      <c r="F281" s="20" t="s">
        <v>182</v>
      </c>
      <c r="G281" s="20" t="s">
        <v>173</v>
      </c>
      <c r="H281" s="24">
        <v>0</v>
      </c>
      <c r="I281" s="24">
        <v>50</v>
      </c>
      <c r="J281" s="24">
        <v>50</v>
      </c>
      <c r="K281" s="24">
        <v>50</v>
      </c>
      <c r="L281" s="24">
        <v>50</v>
      </c>
      <c r="M281" s="24">
        <v>0</v>
      </c>
      <c r="N281" s="24">
        <v>50</v>
      </c>
      <c r="O281" s="24">
        <f t="shared" si="42"/>
        <v>50</v>
      </c>
      <c r="P281" s="215">
        <f t="shared" si="43"/>
        <v>50</v>
      </c>
    </row>
    <row r="282" spans="1:16" ht="15.75" collapsed="1" thickBot="1" x14ac:dyDescent="0.3">
      <c r="A282" s="20"/>
      <c r="B282" s="21"/>
      <c r="C282" s="248"/>
      <c r="D282" s="30" t="s">
        <v>482</v>
      </c>
      <c r="E282" s="22"/>
      <c r="F282" s="22"/>
      <c r="G282" s="45" t="s">
        <v>595</v>
      </c>
      <c r="H282" s="29">
        <f>SUM(H281)</f>
        <v>0</v>
      </c>
      <c r="I282" s="29">
        <f t="shared" ref="I282:P282" si="51">SUM(I281)</f>
        <v>50</v>
      </c>
      <c r="J282" s="29">
        <f t="shared" si="51"/>
        <v>50</v>
      </c>
      <c r="K282" s="29">
        <f t="shared" si="51"/>
        <v>50</v>
      </c>
      <c r="L282" s="29">
        <f t="shared" si="51"/>
        <v>50</v>
      </c>
      <c r="M282" s="29">
        <f t="shared" si="51"/>
        <v>0</v>
      </c>
      <c r="N282" s="29">
        <f t="shared" si="51"/>
        <v>50</v>
      </c>
      <c r="O282" s="29">
        <f t="shared" si="51"/>
        <v>50</v>
      </c>
      <c r="P282" s="217">
        <f t="shared" si="51"/>
        <v>50</v>
      </c>
    </row>
    <row r="283" spans="1:16" ht="15.75" thickBot="1" x14ac:dyDescent="0.3">
      <c r="A283" s="68"/>
      <c r="B283" s="68"/>
      <c r="C283" s="249"/>
      <c r="D283" s="69">
        <v>600</v>
      </c>
      <c r="E283" s="70"/>
      <c r="F283" s="71">
        <v>71</v>
      </c>
      <c r="G283" s="72" t="s">
        <v>741</v>
      </c>
      <c r="H283" s="73">
        <f>SUM(H255:H256)</f>
        <v>0</v>
      </c>
      <c r="I283" s="73">
        <f>I256+I265+I267+I272+I276+I280+I282</f>
        <v>29692.100000000002</v>
      </c>
      <c r="J283" s="73">
        <f t="shared" ref="J283:P283" si="52">J256+J265+J267+J272+J276+J280+J282</f>
        <v>34305</v>
      </c>
      <c r="K283" s="73">
        <f t="shared" si="52"/>
        <v>34305</v>
      </c>
      <c r="L283" s="73">
        <f t="shared" si="52"/>
        <v>31121.876</v>
      </c>
      <c r="M283" s="73">
        <f t="shared" si="52"/>
        <v>25832.52</v>
      </c>
      <c r="N283" s="73">
        <f t="shared" si="52"/>
        <v>39046</v>
      </c>
      <c r="O283" s="73">
        <f t="shared" si="52"/>
        <v>39046</v>
      </c>
      <c r="P283" s="123">
        <f t="shared" si="52"/>
        <v>39046</v>
      </c>
    </row>
    <row r="284" spans="1:16" ht="15.75" thickBot="1" x14ac:dyDescent="0.3">
      <c r="A284" s="10"/>
      <c r="B284" s="10"/>
      <c r="C284" s="161" t="s">
        <v>614</v>
      </c>
      <c r="D284" s="162"/>
      <c r="E284" s="162"/>
      <c r="F284" s="162"/>
      <c r="G284" s="163" t="s">
        <v>615</v>
      </c>
      <c r="H284" s="164">
        <f>H329</f>
        <v>13089.33</v>
      </c>
      <c r="I284" s="164">
        <f t="shared" ref="I284:P284" si="53">I329</f>
        <v>15253.009999999998</v>
      </c>
      <c r="J284" s="164">
        <f t="shared" si="53"/>
        <v>33065</v>
      </c>
      <c r="K284" s="164">
        <f t="shared" si="53"/>
        <v>34379.26</v>
      </c>
      <c r="L284" s="164">
        <f t="shared" si="53"/>
        <v>34879.754500000003</v>
      </c>
      <c r="M284" s="164">
        <f t="shared" si="53"/>
        <v>27347.850000000002</v>
      </c>
      <c r="N284" s="164">
        <f t="shared" si="53"/>
        <v>37667</v>
      </c>
      <c r="O284" s="164">
        <f t="shared" si="53"/>
        <v>37667</v>
      </c>
      <c r="P284" s="165">
        <f t="shared" si="53"/>
        <v>37667</v>
      </c>
    </row>
    <row r="285" spans="1:16" hidden="1" outlineLevel="1" x14ac:dyDescent="0.25">
      <c r="A285" s="39" t="s">
        <v>11</v>
      </c>
      <c r="B285" s="46" t="s">
        <v>503</v>
      </c>
      <c r="C285" s="200" t="s">
        <v>193</v>
      </c>
      <c r="D285" s="40" t="s">
        <v>13</v>
      </c>
      <c r="E285" s="40" t="s">
        <v>14</v>
      </c>
      <c r="F285" s="40" t="s">
        <v>194</v>
      </c>
      <c r="G285" s="40" t="s">
        <v>19</v>
      </c>
      <c r="H285" s="41">
        <v>8299.51</v>
      </c>
      <c r="I285" s="41">
        <v>4209.1400000000003</v>
      </c>
      <c r="J285" s="41">
        <v>22707</v>
      </c>
      <c r="K285" s="41">
        <v>11907</v>
      </c>
      <c r="L285" s="41">
        <v>17280.620000000003</v>
      </c>
      <c r="M285" s="41">
        <v>12857.62</v>
      </c>
      <c r="N285" s="41">
        <v>25076</v>
      </c>
      <c r="O285" s="41">
        <f t="shared" ref="O285:O327" si="54">N285</f>
        <v>25076</v>
      </c>
      <c r="P285" s="201">
        <f t="shared" ref="P285:P327" si="55">N285</f>
        <v>25076</v>
      </c>
    </row>
    <row r="286" spans="1:16" hidden="1" outlineLevel="1" x14ac:dyDescent="0.25">
      <c r="A286" s="39" t="s">
        <v>11</v>
      </c>
      <c r="B286" s="46" t="s">
        <v>503</v>
      </c>
      <c r="C286" s="202" t="s">
        <v>193</v>
      </c>
      <c r="D286" s="39" t="s">
        <v>13</v>
      </c>
      <c r="E286" s="39" t="s">
        <v>17</v>
      </c>
      <c r="F286" s="39" t="s">
        <v>194</v>
      </c>
      <c r="G286" s="39" t="s">
        <v>19</v>
      </c>
      <c r="H286" s="42">
        <v>0</v>
      </c>
      <c r="I286" s="42">
        <v>5953.02</v>
      </c>
      <c r="J286" s="42">
        <v>0</v>
      </c>
      <c r="K286" s="42">
        <v>10800</v>
      </c>
      <c r="L286" s="42">
        <v>6364.48</v>
      </c>
      <c r="M286" s="42">
        <v>6364.48</v>
      </c>
      <c r="N286" s="42"/>
      <c r="O286" s="42">
        <f t="shared" si="54"/>
        <v>0</v>
      </c>
      <c r="P286" s="203">
        <f t="shared" si="55"/>
        <v>0</v>
      </c>
    </row>
    <row r="287" spans="1:16" hidden="1" outlineLevel="1" x14ac:dyDescent="0.25">
      <c r="A287" s="39"/>
      <c r="B287" s="46" t="s">
        <v>503</v>
      </c>
      <c r="C287" s="204" t="s">
        <v>193</v>
      </c>
      <c r="D287" s="39" t="s">
        <v>549</v>
      </c>
      <c r="E287" s="39" t="s">
        <v>17</v>
      </c>
      <c r="F287" s="39" t="s">
        <v>194</v>
      </c>
      <c r="G287" s="39" t="s">
        <v>550</v>
      </c>
      <c r="H287" s="42">
        <v>0</v>
      </c>
      <c r="I287" s="42">
        <v>0</v>
      </c>
      <c r="J287" s="42">
        <v>0</v>
      </c>
      <c r="K287" s="42">
        <v>0</v>
      </c>
      <c r="L287" s="42">
        <v>0</v>
      </c>
      <c r="M287" s="42">
        <v>0</v>
      </c>
      <c r="N287" s="42">
        <v>550</v>
      </c>
      <c r="O287" s="42">
        <f>N287</f>
        <v>550</v>
      </c>
      <c r="P287" s="203">
        <f>N287</f>
        <v>550</v>
      </c>
    </row>
    <row r="288" spans="1:16" collapsed="1" x14ac:dyDescent="0.25">
      <c r="A288" s="39"/>
      <c r="B288" s="46"/>
      <c r="C288" s="251"/>
      <c r="D288" s="47" t="s">
        <v>468</v>
      </c>
      <c r="E288" s="20"/>
      <c r="F288" s="20"/>
      <c r="G288" s="39" t="s">
        <v>610</v>
      </c>
      <c r="H288" s="24">
        <f>SUM(H285:H287)</f>
        <v>8299.51</v>
      </c>
      <c r="I288" s="24">
        <f t="shared" ref="I288:P288" si="56">SUM(I285:I287)</f>
        <v>10162.16</v>
      </c>
      <c r="J288" s="24">
        <f t="shared" si="56"/>
        <v>22707</v>
      </c>
      <c r="K288" s="24">
        <f t="shared" si="56"/>
        <v>22707</v>
      </c>
      <c r="L288" s="24">
        <f t="shared" si="56"/>
        <v>23645.100000000002</v>
      </c>
      <c r="M288" s="24">
        <f t="shared" si="56"/>
        <v>19222.099999999999</v>
      </c>
      <c r="N288" s="24">
        <f t="shared" si="56"/>
        <v>25626</v>
      </c>
      <c r="O288" s="24">
        <f t="shared" si="56"/>
        <v>25626</v>
      </c>
      <c r="P288" s="215">
        <f t="shared" si="56"/>
        <v>25626</v>
      </c>
    </row>
    <row r="289" spans="1:16" ht="15" hidden="1" customHeight="1" outlineLevel="1" x14ac:dyDescent="0.25">
      <c r="A289" s="39" t="s">
        <v>11</v>
      </c>
      <c r="B289" s="46" t="s">
        <v>503</v>
      </c>
      <c r="C289" s="248"/>
      <c r="D289" s="23" t="s">
        <v>22</v>
      </c>
      <c r="E289" s="20" t="s">
        <v>14</v>
      </c>
      <c r="F289" s="20" t="s">
        <v>194</v>
      </c>
      <c r="G289" s="20" t="s">
        <v>23</v>
      </c>
      <c r="H289" s="24">
        <v>843.75</v>
      </c>
      <c r="I289" s="24">
        <v>999.72</v>
      </c>
      <c r="J289" s="24">
        <v>2271</v>
      </c>
      <c r="K289" s="24">
        <v>1148.9000000000001</v>
      </c>
      <c r="L289" s="24">
        <v>1742.06</v>
      </c>
      <c r="M289" s="24">
        <v>1299.76</v>
      </c>
      <c r="N289" s="24">
        <v>2508</v>
      </c>
      <c r="O289" s="24">
        <f t="shared" si="54"/>
        <v>2508</v>
      </c>
      <c r="P289" s="215">
        <f t="shared" si="55"/>
        <v>2508</v>
      </c>
    </row>
    <row r="290" spans="1:16" ht="15" hidden="1" customHeight="1" outlineLevel="1" x14ac:dyDescent="0.25">
      <c r="A290" s="39" t="s">
        <v>11</v>
      </c>
      <c r="B290" s="46" t="s">
        <v>503</v>
      </c>
      <c r="C290" s="248"/>
      <c r="D290" s="23" t="s">
        <v>22</v>
      </c>
      <c r="E290" s="20" t="s">
        <v>17</v>
      </c>
      <c r="F290" s="20" t="s">
        <v>194</v>
      </c>
      <c r="G290" s="20" t="s">
        <v>23</v>
      </c>
      <c r="H290" s="24">
        <v>0</v>
      </c>
      <c r="I290" s="24">
        <v>0</v>
      </c>
      <c r="J290" s="24">
        <v>0</v>
      </c>
      <c r="K290" s="24">
        <v>1084.99</v>
      </c>
      <c r="L290" s="24">
        <v>554.99</v>
      </c>
      <c r="M290" s="24">
        <v>554.99</v>
      </c>
      <c r="N290" s="24"/>
      <c r="O290" s="24">
        <f t="shared" si="54"/>
        <v>0</v>
      </c>
      <c r="P290" s="215">
        <f t="shared" si="55"/>
        <v>0</v>
      </c>
    </row>
    <row r="291" spans="1:16" ht="15" hidden="1" customHeight="1" outlineLevel="1" x14ac:dyDescent="0.25">
      <c r="A291" s="39" t="s">
        <v>11</v>
      </c>
      <c r="B291" s="46" t="s">
        <v>503</v>
      </c>
      <c r="C291" s="248"/>
      <c r="D291" s="23" t="s">
        <v>26</v>
      </c>
      <c r="E291" s="20" t="s">
        <v>17</v>
      </c>
      <c r="F291" s="20" t="s">
        <v>194</v>
      </c>
      <c r="G291" s="20" t="s">
        <v>195</v>
      </c>
      <c r="H291" s="24">
        <v>0</v>
      </c>
      <c r="I291" s="24">
        <v>0</v>
      </c>
      <c r="J291" s="24">
        <v>0</v>
      </c>
      <c r="K291" s="24">
        <v>12.1</v>
      </c>
      <c r="L291" s="24">
        <v>12.1</v>
      </c>
      <c r="M291" s="24">
        <v>12.1</v>
      </c>
      <c r="N291" s="24"/>
      <c r="O291" s="24">
        <f t="shared" si="54"/>
        <v>0</v>
      </c>
      <c r="P291" s="215">
        <f t="shared" si="55"/>
        <v>0</v>
      </c>
    </row>
    <row r="292" spans="1:16" ht="15" hidden="1" customHeight="1" outlineLevel="1" x14ac:dyDescent="0.25">
      <c r="A292" s="39" t="s">
        <v>11</v>
      </c>
      <c r="B292" s="46" t="s">
        <v>503</v>
      </c>
      <c r="C292" s="248"/>
      <c r="D292" s="23" t="s">
        <v>52</v>
      </c>
      <c r="E292" s="20" t="s">
        <v>14</v>
      </c>
      <c r="F292" s="20" t="s">
        <v>194</v>
      </c>
      <c r="G292" s="20" t="s">
        <v>53</v>
      </c>
      <c r="H292" s="24">
        <v>139.61000000000001</v>
      </c>
      <c r="I292" s="24">
        <v>119</v>
      </c>
      <c r="J292" s="24">
        <v>240</v>
      </c>
      <c r="K292" s="24">
        <v>190</v>
      </c>
      <c r="L292" s="24">
        <v>190</v>
      </c>
      <c r="M292" s="24">
        <v>140</v>
      </c>
      <c r="N292" s="24"/>
      <c r="O292" s="24">
        <f t="shared" si="54"/>
        <v>0</v>
      </c>
      <c r="P292" s="215">
        <f t="shared" si="55"/>
        <v>0</v>
      </c>
    </row>
    <row r="293" spans="1:16" ht="15" hidden="1" customHeight="1" outlineLevel="1" x14ac:dyDescent="0.25">
      <c r="A293" s="39" t="s">
        <v>11</v>
      </c>
      <c r="B293" s="46" t="s">
        <v>503</v>
      </c>
      <c r="C293" s="248"/>
      <c r="D293" s="23" t="s">
        <v>52</v>
      </c>
      <c r="E293" s="20" t="s">
        <v>17</v>
      </c>
      <c r="F293" s="20" t="s">
        <v>194</v>
      </c>
      <c r="G293" s="20" t="s">
        <v>53</v>
      </c>
      <c r="H293" s="24">
        <v>0</v>
      </c>
      <c r="I293" s="24">
        <v>0</v>
      </c>
      <c r="J293" s="24">
        <v>0</v>
      </c>
      <c r="K293" s="24">
        <v>50</v>
      </c>
      <c r="L293" s="24">
        <v>50</v>
      </c>
      <c r="M293" s="24">
        <v>50</v>
      </c>
      <c r="N293" s="24">
        <v>240</v>
      </c>
      <c r="O293" s="24">
        <f t="shared" si="54"/>
        <v>240</v>
      </c>
      <c r="P293" s="215">
        <f t="shared" si="55"/>
        <v>240</v>
      </c>
    </row>
    <row r="294" spans="1:16" ht="15" hidden="1" customHeight="1" outlineLevel="1" x14ac:dyDescent="0.25">
      <c r="A294" s="39" t="s">
        <v>11</v>
      </c>
      <c r="B294" s="46" t="s">
        <v>503</v>
      </c>
      <c r="C294" s="248"/>
      <c r="D294" s="23" t="s">
        <v>29</v>
      </c>
      <c r="E294" s="20" t="s">
        <v>14</v>
      </c>
      <c r="F294" s="20" t="s">
        <v>194</v>
      </c>
      <c r="G294" s="20" t="s">
        <v>30</v>
      </c>
      <c r="H294" s="24">
        <v>107.25</v>
      </c>
      <c r="I294" s="24">
        <v>126.79</v>
      </c>
      <c r="J294" s="24">
        <v>318</v>
      </c>
      <c r="K294" s="24">
        <v>155.01</v>
      </c>
      <c r="L294" s="24">
        <v>179.93</v>
      </c>
      <c r="M294" s="24">
        <v>179.93</v>
      </c>
      <c r="N294" s="24">
        <v>351</v>
      </c>
      <c r="O294" s="24">
        <f t="shared" si="54"/>
        <v>351</v>
      </c>
      <c r="P294" s="215">
        <f t="shared" si="55"/>
        <v>351</v>
      </c>
    </row>
    <row r="295" spans="1:16" ht="15" hidden="1" customHeight="1" outlineLevel="1" x14ac:dyDescent="0.25">
      <c r="A295" s="39" t="s">
        <v>11</v>
      </c>
      <c r="B295" s="46" t="s">
        <v>503</v>
      </c>
      <c r="C295" s="248"/>
      <c r="D295" s="23" t="s">
        <v>29</v>
      </c>
      <c r="E295" s="20" t="s">
        <v>17</v>
      </c>
      <c r="F295" s="20" t="s">
        <v>194</v>
      </c>
      <c r="G295" s="20" t="s">
        <v>30</v>
      </c>
      <c r="H295" s="24">
        <v>0</v>
      </c>
      <c r="I295" s="24">
        <v>0</v>
      </c>
      <c r="J295" s="24">
        <v>0</v>
      </c>
      <c r="K295" s="24">
        <v>198</v>
      </c>
      <c r="L295" s="24">
        <v>259.91200000000003</v>
      </c>
      <c r="M295" s="24">
        <v>197.99</v>
      </c>
      <c r="N295" s="24"/>
      <c r="O295" s="24">
        <f t="shared" si="54"/>
        <v>0</v>
      </c>
      <c r="P295" s="215">
        <f t="shared" si="55"/>
        <v>0</v>
      </c>
    </row>
    <row r="296" spans="1:16" ht="15" hidden="1" customHeight="1" outlineLevel="1" x14ac:dyDescent="0.25">
      <c r="A296" s="39" t="s">
        <v>11</v>
      </c>
      <c r="B296" s="46" t="s">
        <v>503</v>
      </c>
      <c r="C296" s="248"/>
      <c r="D296" s="23" t="s">
        <v>32</v>
      </c>
      <c r="E296" s="20" t="s">
        <v>14</v>
      </c>
      <c r="F296" s="20" t="s">
        <v>194</v>
      </c>
      <c r="G296" s="20" t="s">
        <v>34</v>
      </c>
      <c r="H296" s="24">
        <v>1082.27</v>
      </c>
      <c r="I296" s="24">
        <v>1268</v>
      </c>
      <c r="J296" s="24">
        <v>3179</v>
      </c>
      <c r="K296" s="24">
        <v>1579</v>
      </c>
      <c r="L296" s="24">
        <v>2419.2799999999997</v>
      </c>
      <c r="M296" s="24">
        <v>1800.06</v>
      </c>
      <c r="N296" s="24">
        <v>3511</v>
      </c>
      <c r="O296" s="24">
        <f t="shared" si="54"/>
        <v>3511</v>
      </c>
      <c r="P296" s="215">
        <f t="shared" si="55"/>
        <v>3511</v>
      </c>
    </row>
    <row r="297" spans="1:16" ht="15" hidden="1" customHeight="1" outlineLevel="1" x14ac:dyDescent="0.25">
      <c r="A297" s="39" t="s">
        <v>11</v>
      </c>
      <c r="B297" s="46" t="s">
        <v>503</v>
      </c>
      <c r="C297" s="248"/>
      <c r="D297" s="23" t="s">
        <v>32</v>
      </c>
      <c r="E297" s="20" t="s">
        <v>17</v>
      </c>
      <c r="F297" s="20" t="s">
        <v>194</v>
      </c>
      <c r="G297" s="20" t="s">
        <v>34</v>
      </c>
      <c r="H297" s="24">
        <v>0</v>
      </c>
      <c r="I297" s="24">
        <v>114.95</v>
      </c>
      <c r="J297" s="24">
        <v>0</v>
      </c>
      <c r="K297" s="24">
        <v>1570</v>
      </c>
      <c r="L297" s="24">
        <v>795.92</v>
      </c>
      <c r="M297" s="24">
        <v>795.92</v>
      </c>
      <c r="N297" s="24"/>
      <c r="O297" s="24">
        <f t="shared" si="54"/>
        <v>0</v>
      </c>
      <c r="P297" s="215">
        <f t="shared" si="55"/>
        <v>0</v>
      </c>
    </row>
    <row r="298" spans="1:16" ht="15" hidden="1" customHeight="1" outlineLevel="1" x14ac:dyDescent="0.25">
      <c r="A298" s="39" t="s">
        <v>11</v>
      </c>
      <c r="B298" s="46" t="s">
        <v>503</v>
      </c>
      <c r="C298" s="248"/>
      <c r="D298" s="23" t="s">
        <v>36</v>
      </c>
      <c r="E298" s="20" t="s">
        <v>14</v>
      </c>
      <c r="F298" s="20" t="s">
        <v>194</v>
      </c>
      <c r="G298" s="20" t="s">
        <v>38</v>
      </c>
      <c r="H298" s="24">
        <v>159.76</v>
      </c>
      <c r="I298" s="24">
        <v>79</v>
      </c>
      <c r="J298" s="24">
        <v>181</v>
      </c>
      <c r="K298" s="24">
        <v>95</v>
      </c>
      <c r="L298" s="24">
        <v>102.79</v>
      </c>
      <c r="M298" s="24">
        <v>102.79</v>
      </c>
      <c r="N298" s="24">
        <v>201</v>
      </c>
      <c r="O298" s="24">
        <f t="shared" si="54"/>
        <v>201</v>
      </c>
      <c r="P298" s="215">
        <f t="shared" si="55"/>
        <v>201</v>
      </c>
    </row>
    <row r="299" spans="1:16" ht="15" hidden="1" customHeight="1" outlineLevel="1" x14ac:dyDescent="0.25">
      <c r="A299" s="39" t="s">
        <v>11</v>
      </c>
      <c r="B299" s="46" t="s">
        <v>503</v>
      </c>
      <c r="C299" s="248"/>
      <c r="D299" s="23" t="s">
        <v>36</v>
      </c>
      <c r="E299" s="20" t="s">
        <v>17</v>
      </c>
      <c r="F299" s="20" t="s">
        <v>194</v>
      </c>
      <c r="G299" s="20" t="s">
        <v>38</v>
      </c>
      <c r="H299" s="24">
        <v>0</v>
      </c>
      <c r="I299" s="24">
        <v>0</v>
      </c>
      <c r="J299" s="24">
        <v>0</v>
      </c>
      <c r="K299" s="24">
        <v>106</v>
      </c>
      <c r="L299" s="24">
        <v>88.003999999999991</v>
      </c>
      <c r="M299" s="24">
        <v>52.62</v>
      </c>
      <c r="N299" s="24"/>
      <c r="O299" s="24">
        <f t="shared" si="54"/>
        <v>0</v>
      </c>
      <c r="P299" s="215">
        <f t="shared" si="55"/>
        <v>0</v>
      </c>
    </row>
    <row r="300" spans="1:16" ht="15" hidden="1" customHeight="1" outlineLevel="1" x14ac:dyDescent="0.25">
      <c r="A300" s="39" t="s">
        <v>11</v>
      </c>
      <c r="B300" s="46" t="s">
        <v>503</v>
      </c>
      <c r="C300" s="248"/>
      <c r="D300" s="23" t="s">
        <v>40</v>
      </c>
      <c r="E300" s="20" t="s">
        <v>14</v>
      </c>
      <c r="F300" s="20" t="s">
        <v>194</v>
      </c>
      <c r="G300" s="20" t="s">
        <v>42</v>
      </c>
      <c r="H300" s="24">
        <v>229.87</v>
      </c>
      <c r="I300" s="24">
        <v>296.32</v>
      </c>
      <c r="J300" s="24">
        <v>681</v>
      </c>
      <c r="K300" s="24">
        <v>509</v>
      </c>
      <c r="L300" s="24">
        <v>385.67</v>
      </c>
      <c r="M300" s="24">
        <v>385.67</v>
      </c>
      <c r="N300" s="24">
        <v>752</v>
      </c>
      <c r="O300" s="24">
        <f t="shared" si="54"/>
        <v>752</v>
      </c>
      <c r="P300" s="215">
        <f t="shared" si="55"/>
        <v>752</v>
      </c>
    </row>
    <row r="301" spans="1:16" ht="15" hidden="1" customHeight="1" outlineLevel="1" x14ac:dyDescent="0.25">
      <c r="A301" s="39" t="s">
        <v>11</v>
      </c>
      <c r="B301" s="46" t="s">
        <v>503</v>
      </c>
      <c r="C301" s="248"/>
      <c r="D301" s="23" t="s">
        <v>40</v>
      </c>
      <c r="E301" s="20" t="s">
        <v>17</v>
      </c>
      <c r="F301" s="20" t="s">
        <v>194</v>
      </c>
      <c r="G301" s="20" t="s">
        <v>42</v>
      </c>
      <c r="H301" s="24">
        <v>0</v>
      </c>
      <c r="I301" s="24">
        <v>0</v>
      </c>
      <c r="J301" s="24">
        <v>0</v>
      </c>
      <c r="K301" s="24">
        <v>172</v>
      </c>
      <c r="L301" s="24">
        <v>304.58</v>
      </c>
      <c r="M301" s="24">
        <v>171.89</v>
      </c>
      <c r="N301" s="24"/>
      <c r="O301" s="24">
        <f t="shared" si="54"/>
        <v>0</v>
      </c>
      <c r="P301" s="215">
        <f t="shared" si="55"/>
        <v>0</v>
      </c>
    </row>
    <row r="302" spans="1:16" ht="15" hidden="1" customHeight="1" outlineLevel="1" x14ac:dyDescent="0.25">
      <c r="A302" s="39" t="s">
        <v>11</v>
      </c>
      <c r="B302" s="46" t="s">
        <v>503</v>
      </c>
      <c r="C302" s="248"/>
      <c r="D302" s="23" t="s">
        <v>44</v>
      </c>
      <c r="E302" s="20" t="s">
        <v>14</v>
      </c>
      <c r="F302" s="20" t="s">
        <v>194</v>
      </c>
      <c r="G302" s="20" t="s">
        <v>46</v>
      </c>
      <c r="H302" s="24">
        <v>103.2</v>
      </c>
      <c r="I302" s="24">
        <v>98.75</v>
      </c>
      <c r="J302" s="24">
        <v>227</v>
      </c>
      <c r="K302" s="24">
        <v>127</v>
      </c>
      <c r="L302" s="24">
        <v>128.52000000000001</v>
      </c>
      <c r="M302" s="24">
        <v>128.52000000000001</v>
      </c>
      <c r="N302" s="24">
        <v>251</v>
      </c>
      <c r="O302" s="24">
        <f t="shared" si="54"/>
        <v>251</v>
      </c>
      <c r="P302" s="215">
        <f t="shared" si="55"/>
        <v>251</v>
      </c>
    </row>
    <row r="303" spans="1:16" ht="15" hidden="1" customHeight="1" outlineLevel="1" x14ac:dyDescent="0.25">
      <c r="A303" s="39" t="s">
        <v>11</v>
      </c>
      <c r="B303" s="46" t="s">
        <v>503</v>
      </c>
      <c r="C303" s="248"/>
      <c r="D303" s="23" t="s">
        <v>44</v>
      </c>
      <c r="E303" s="20" t="s">
        <v>17</v>
      </c>
      <c r="F303" s="20" t="s">
        <v>194</v>
      </c>
      <c r="G303" s="20" t="s">
        <v>46</v>
      </c>
      <c r="H303" s="24">
        <v>0</v>
      </c>
      <c r="I303" s="24">
        <v>0</v>
      </c>
      <c r="J303" s="24">
        <v>0</v>
      </c>
      <c r="K303" s="24">
        <v>100</v>
      </c>
      <c r="L303" s="24">
        <v>140.27000000000001</v>
      </c>
      <c r="M303" s="24">
        <v>96.04</v>
      </c>
      <c r="N303" s="24"/>
      <c r="O303" s="24">
        <f t="shared" si="54"/>
        <v>0</v>
      </c>
      <c r="P303" s="215">
        <f t="shared" si="55"/>
        <v>0</v>
      </c>
    </row>
    <row r="304" spans="1:16" ht="15" hidden="1" customHeight="1" outlineLevel="1" x14ac:dyDescent="0.25">
      <c r="A304" s="39" t="s">
        <v>11</v>
      </c>
      <c r="B304" s="46" t="s">
        <v>503</v>
      </c>
      <c r="C304" s="248"/>
      <c r="D304" s="23" t="s">
        <v>48</v>
      </c>
      <c r="E304" s="20" t="s">
        <v>14</v>
      </c>
      <c r="F304" s="20" t="s">
        <v>194</v>
      </c>
      <c r="G304" s="20" t="s">
        <v>50</v>
      </c>
      <c r="H304" s="24">
        <v>364.03</v>
      </c>
      <c r="I304" s="24">
        <v>469.18</v>
      </c>
      <c r="J304" s="24">
        <v>1078</v>
      </c>
      <c r="K304" s="24">
        <v>816</v>
      </c>
      <c r="L304" s="24">
        <v>610.67999999999995</v>
      </c>
      <c r="M304" s="24">
        <v>610.67999999999995</v>
      </c>
      <c r="N304" s="24">
        <v>1191</v>
      </c>
      <c r="O304" s="24">
        <f t="shared" si="54"/>
        <v>1191</v>
      </c>
      <c r="P304" s="215">
        <f t="shared" si="55"/>
        <v>1191</v>
      </c>
    </row>
    <row r="305" spans="1:20" ht="15" hidden="1" customHeight="1" outlineLevel="1" x14ac:dyDescent="0.25">
      <c r="A305" s="39" t="s">
        <v>11</v>
      </c>
      <c r="B305" s="46" t="s">
        <v>503</v>
      </c>
      <c r="C305" s="248"/>
      <c r="D305" s="23" t="s">
        <v>48</v>
      </c>
      <c r="E305" s="20" t="s">
        <v>17</v>
      </c>
      <c r="F305" s="20" t="s">
        <v>194</v>
      </c>
      <c r="G305" s="20" t="s">
        <v>50</v>
      </c>
      <c r="H305" s="24">
        <v>0</v>
      </c>
      <c r="I305" s="24">
        <v>0</v>
      </c>
      <c r="J305" s="24">
        <v>0</v>
      </c>
      <c r="K305" s="24">
        <v>262</v>
      </c>
      <c r="L305" s="24">
        <v>471.3125</v>
      </c>
      <c r="M305" s="24">
        <v>261.22000000000003</v>
      </c>
      <c r="N305" s="24"/>
      <c r="O305" s="24">
        <f t="shared" si="54"/>
        <v>0</v>
      </c>
      <c r="P305" s="215">
        <f t="shared" si="55"/>
        <v>0</v>
      </c>
    </row>
    <row r="306" spans="1:20" collapsed="1" x14ac:dyDescent="0.25">
      <c r="A306" s="39"/>
      <c r="B306" s="46"/>
      <c r="C306" s="248"/>
      <c r="D306" s="47" t="s">
        <v>469</v>
      </c>
      <c r="E306" s="20"/>
      <c r="F306" s="20"/>
      <c r="G306" s="39" t="s">
        <v>472</v>
      </c>
      <c r="H306" s="24">
        <f>SUM(H289:H305)</f>
        <v>3029.74</v>
      </c>
      <c r="I306" s="24">
        <f t="shared" ref="I306:P306" si="57">SUM(I289:I305)</f>
        <v>3571.71</v>
      </c>
      <c r="J306" s="24">
        <f t="shared" si="57"/>
        <v>8175</v>
      </c>
      <c r="K306" s="24">
        <f t="shared" si="57"/>
        <v>8175</v>
      </c>
      <c r="L306" s="24">
        <f t="shared" si="57"/>
        <v>8436.0185000000019</v>
      </c>
      <c r="M306" s="24">
        <f t="shared" si="57"/>
        <v>6840.1800000000012</v>
      </c>
      <c r="N306" s="24">
        <f t="shared" si="57"/>
        <v>9005</v>
      </c>
      <c r="O306" s="24">
        <f t="shared" si="57"/>
        <v>9005</v>
      </c>
      <c r="P306" s="215">
        <f t="shared" si="57"/>
        <v>9005</v>
      </c>
    </row>
    <row r="307" spans="1:20" ht="15" hidden="1" customHeight="1" outlineLevel="1" x14ac:dyDescent="0.25">
      <c r="A307" s="39" t="s">
        <v>11</v>
      </c>
      <c r="B307" s="46" t="s">
        <v>503</v>
      </c>
      <c r="C307" s="248"/>
      <c r="D307" s="23" t="s">
        <v>54</v>
      </c>
      <c r="E307" s="20" t="s">
        <v>14</v>
      </c>
      <c r="F307" s="20" t="s">
        <v>194</v>
      </c>
      <c r="G307" s="20" t="s">
        <v>55</v>
      </c>
      <c r="H307" s="24">
        <v>34.090000000000003</v>
      </c>
      <c r="I307" s="24">
        <v>11.34</v>
      </c>
      <c r="J307" s="24">
        <v>20</v>
      </c>
      <c r="K307" s="24">
        <v>20</v>
      </c>
      <c r="L307" s="24">
        <v>0</v>
      </c>
      <c r="M307" s="24">
        <v>0</v>
      </c>
      <c r="N307" s="24">
        <v>20</v>
      </c>
      <c r="O307" s="24">
        <f t="shared" si="54"/>
        <v>20</v>
      </c>
      <c r="P307" s="215">
        <f t="shared" si="55"/>
        <v>20</v>
      </c>
    </row>
    <row r="308" spans="1:20" collapsed="1" x14ac:dyDescent="0.25">
      <c r="A308" s="39"/>
      <c r="B308" s="46"/>
      <c r="C308" s="248"/>
      <c r="D308" s="47" t="s">
        <v>480</v>
      </c>
      <c r="E308" s="20"/>
      <c r="F308" s="20"/>
      <c r="G308" s="39" t="s">
        <v>55</v>
      </c>
      <c r="H308" s="24">
        <f>SUM(H307)</f>
        <v>34.090000000000003</v>
      </c>
      <c r="I308" s="24">
        <f t="shared" ref="I308:P308" si="58">SUM(I307)</f>
        <v>11.34</v>
      </c>
      <c r="J308" s="24">
        <f t="shared" si="58"/>
        <v>20</v>
      </c>
      <c r="K308" s="24">
        <f t="shared" si="58"/>
        <v>20</v>
      </c>
      <c r="L308" s="24">
        <f t="shared" si="58"/>
        <v>0</v>
      </c>
      <c r="M308" s="24">
        <f t="shared" si="58"/>
        <v>0</v>
      </c>
      <c r="N308" s="24">
        <f t="shared" si="58"/>
        <v>20</v>
      </c>
      <c r="O308" s="24">
        <f t="shared" si="58"/>
        <v>20</v>
      </c>
      <c r="P308" s="215">
        <f t="shared" si="58"/>
        <v>20</v>
      </c>
    </row>
    <row r="309" spans="1:20" ht="15" hidden="1" customHeight="1" outlineLevel="1" x14ac:dyDescent="0.25">
      <c r="A309" s="39" t="s">
        <v>11</v>
      </c>
      <c r="B309" s="46" t="s">
        <v>503</v>
      </c>
      <c r="C309" s="248"/>
      <c r="D309" s="23" t="s">
        <v>56</v>
      </c>
      <c r="E309" s="20" t="s">
        <v>14</v>
      </c>
      <c r="F309" s="20" t="s">
        <v>194</v>
      </c>
      <c r="G309" s="20" t="s">
        <v>197</v>
      </c>
      <c r="H309" s="24">
        <v>188.83</v>
      </c>
      <c r="I309" s="24">
        <f>72.07+95+27.31</f>
        <v>194.38</v>
      </c>
      <c r="J309" s="24">
        <v>140</v>
      </c>
      <c r="K309" s="24">
        <v>140</v>
      </c>
      <c r="L309" s="24">
        <f>M309/10*12</f>
        <v>98.868000000000009</v>
      </c>
      <c r="M309" s="24">
        <v>82.39</v>
      </c>
      <c r="N309" s="24">
        <v>140</v>
      </c>
      <c r="O309" s="24">
        <f t="shared" si="54"/>
        <v>140</v>
      </c>
      <c r="P309" s="215">
        <f t="shared" si="55"/>
        <v>140</v>
      </c>
    </row>
    <row r="310" spans="1:20" ht="15" hidden="1" customHeight="1" outlineLevel="1" x14ac:dyDescent="0.25">
      <c r="A310" s="39" t="s">
        <v>11</v>
      </c>
      <c r="B310" s="46" t="s">
        <v>503</v>
      </c>
      <c r="C310" s="248"/>
      <c r="D310" s="23" t="s">
        <v>56</v>
      </c>
      <c r="E310" s="20" t="s">
        <v>14</v>
      </c>
      <c r="F310" s="20" t="s">
        <v>194</v>
      </c>
      <c r="G310" s="20" t="s">
        <v>198</v>
      </c>
      <c r="H310" s="24">
        <v>0</v>
      </c>
      <c r="I310" s="24">
        <v>0</v>
      </c>
      <c r="J310" s="24">
        <v>130</v>
      </c>
      <c r="K310" s="24">
        <v>130</v>
      </c>
      <c r="L310" s="24">
        <f>M310/10*12</f>
        <v>66.635999999999996</v>
      </c>
      <c r="M310" s="24">
        <v>55.53</v>
      </c>
      <c r="N310" s="24">
        <v>130</v>
      </c>
      <c r="O310" s="24">
        <f t="shared" si="54"/>
        <v>130</v>
      </c>
      <c r="P310" s="215">
        <f t="shared" si="55"/>
        <v>130</v>
      </c>
    </row>
    <row r="311" spans="1:20" ht="15" hidden="1" customHeight="1" outlineLevel="1" x14ac:dyDescent="0.25">
      <c r="A311" s="39" t="s">
        <v>11</v>
      </c>
      <c r="B311" s="46" t="s">
        <v>503</v>
      </c>
      <c r="C311" s="248"/>
      <c r="D311" s="23" t="s">
        <v>65</v>
      </c>
      <c r="E311" s="20" t="s">
        <v>14</v>
      </c>
      <c r="F311" s="20" t="s">
        <v>194</v>
      </c>
      <c r="G311" s="20" t="s">
        <v>66</v>
      </c>
      <c r="H311" s="24">
        <v>147.32</v>
      </c>
      <c r="I311" s="24">
        <v>84.54</v>
      </c>
      <c r="J311" s="24">
        <v>60</v>
      </c>
      <c r="K311" s="24">
        <v>60</v>
      </c>
      <c r="L311" s="24">
        <f>M311/10*12</f>
        <v>28.715999999999998</v>
      </c>
      <c r="M311" s="24">
        <v>23.93</v>
      </c>
      <c r="N311" s="24">
        <v>50</v>
      </c>
      <c r="O311" s="24">
        <f t="shared" si="54"/>
        <v>50</v>
      </c>
      <c r="P311" s="215">
        <f t="shared" si="55"/>
        <v>50</v>
      </c>
    </row>
    <row r="312" spans="1:20" ht="15" hidden="1" customHeight="1" outlineLevel="1" x14ac:dyDescent="0.25">
      <c r="A312" s="39" t="s">
        <v>11</v>
      </c>
      <c r="B312" s="46" t="s">
        <v>503</v>
      </c>
      <c r="C312" s="248"/>
      <c r="D312" s="23" t="s">
        <v>69</v>
      </c>
      <c r="E312" s="20" t="s">
        <v>14</v>
      </c>
      <c r="F312" s="20" t="s">
        <v>194</v>
      </c>
      <c r="G312" s="20" t="s">
        <v>71</v>
      </c>
      <c r="H312" s="24">
        <v>98.2</v>
      </c>
      <c r="I312" s="24">
        <v>107.04</v>
      </c>
      <c r="J312" s="24">
        <v>80</v>
      </c>
      <c r="K312" s="24">
        <v>80</v>
      </c>
      <c r="L312" s="24">
        <f>M312/10*12</f>
        <v>115.08</v>
      </c>
      <c r="M312" s="24">
        <v>95.9</v>
      </c>
      <c r="N312" s="24">
        <v>120</v>
      </c>
      <c r="O312" s="24">
        <f t="shared" si="54"/>
        <v>120</v>
      </c>
      <c r="P312" s="215">
        <f t="shared" si="55"/>
        <v>120</v>
      </c>
    </row>
    <row r="313" spans="1:20" ht="15" hidden="1" customHeight="1" outlineLevel="1" x14ac:dyDescent="0.25">
      <c r="A313" s="39" t="s">
        <v>11</v>
      </c>
      <c r="B313" s="46" t="s">
        <v>503</v>
      </c>
      <c r="C313" s="248"/>
      <c r="D313" s="23" t="s">
        <v>74</v>
      </c>
      <c r="E313" s="20" t="s">
        <v>14</v>
      </c>
      <c r="F313" s="20" t="s">
        <v>194</v>
      </c>
      <c r="G313" s="20" t="s">
        <v>199</v>
      </c>
      <c r="H313" s="24">
        <v>60.61</v>
      </c>
      <c r="I313" s="24">
        <f>58.55+0.47</f>
        <v>59.019999999999996</v>
      </c>
      <c r="J313" s="24">
        <v>70</v>
      </c>
      <c r="K313" s="24">
        <v>70</v>
      </c>
      <c r="L313" s="24">
        <f>M313/10*12</f>
        <v>69.972000000000008</v>
      </c>
      <c r="M313" s="24">
        <v>58.31</v>
      </c>
      <c r="N313" s="24">
        <v>80</v>
      </c>
      <c r="O313" s="24">
        <f t="shared" si="54"/>
        <v>80</v>
      </c>
      <c r="P313" s="215">
        <f t="shared" si="55"/>
        <v>80</v>
      </c>
    </row>
    <row r="314" spans="1:20" collapsed="1" x14ac:dyDescent="0.25">
      <c r="A314" s="39"/>
      <c r="B314" s="46"/>
      <c r="C314" s="248"/>
      <c r="D314" s="47" t="s">
        <v>481</v>
      </c>
      <c r="E314" s="20"/>
      <c r="F314" s="20"/>
      <c r="G314" s="39" t="s">
        <v>567</v>
      </c>
      <c r="H314" s="24">
        <f>SUM(H309:H313)</f>
        <v>494.96</v>
      </c>
      <c r="I314" s="24">
        <f t="shared" ref="I314:P314" si="59">SUM(I309:I313)</f>
        <v>444.98</v>
      </c>
      <c r="J314" s="24">
        <f t="shared" si="59"/>
        <v>480</v>
      </c>
      <c r="K314" s="24">
        <f t="shared" si="59"/>
        <v>480</v>
      </c>
      <c r="L314" s="24">
        <f t="shared" si="59"/>
        <v>379.27200000000005</v>
      </c>
      <c r="M314" s="24">
        <f t="shared" si="59"/>
        <v>316.06</v>
      </c>
      <c r="N314" s="24">
        <f t="shared" si="59"/>
        <v>520</v>
      </c>
      <c r="O314" s="24">
        <f t="shared" si="59"/>
        <v>520</v>
      </c>
      <c r="P314" s="215">
        <f t="shared" si="59"/>
        <v>520</v>
      </c>
      <c r="T314" s="78"/>
    </row>
    <row r="315" spans="1:20" ht="15" hidden="1" customHeight="1" outlineLevel="1" x14ac:dyDescent="0.25">
      <c r="A315" s="39" t="s">
        <v>11</v>
      </c>
      <c r="B315" s="46" t="s">
        <v>503</v>
      </c>
      <c r="C315" s="248"/>
      <c r="D315" s="23" t="s">
        <v>88</v>
      </c>
      <c r="E315" s="20" t="s">
        <v>14</v>
      </c>
      <c r="F315" s="20" t="s">
        <v>194</v>
      </c>
      <c r="G315" s="20" t="s">
        <v>92</v>
      </c>
      <c r="H315" s="24">
        <v>0</v>
      </c>
      <c r="I315" s="24">
        <v>180.44</v>
      </c>
      <c r="J315" s="24">
        <v>0</v>
      </c>
      <c r="K315" s="24">
        <v>1264.26</v>
      </c>
      <c r="L315" s="24">
        <v>1200</v>
      </c>
      <c r="M315" s="24">
        <v>0</v>
      </c>
      <c r="N315" s="24">
        <v>500</v>
      </c>
      <c r="O315" s="24">
        <f t="shared" si="54"/>
        <v>500</v>
      </c>
      <c r="P315" s="215">
        <f t="shared" si="55"/>
        <v>500</v>
      </c>
    </row>
    <row r="316" spans="1:20" ht="15" hidden="1" customHeight="1" outlineLevel="1" x14ac:dyDescent="0.25">
      <c r="A316" s="39" t="s">
        <v>11</v>
      </c>
      <c r="B316" s="46" t="s">
        <v>503</v>
      </c>
      <c r="C316" s="248"/>
      <c r="D316" s="23" t="s">
        <v>88</v>
      </c>
      <c r="E316" s="20" t="s">
        <v>17</v>
      </c>
      <c r="F316" s="20" t="s">
        <v>194</v>
      </c>
      <c r="G316" s="20" t="s">
        <v>200</v>
      </c>
      <c r="H316" s="24">
        <v>239.87</v>
      </c>
      <c r="I316" s="24">
        <v>21.64</v>
      </c>
      <c r="J316" s="24">
        <v>50</v>
      </c>
      <c r="K316" s="24">
        <v>100</v>
      </c>
      <c r="L316" s="24">
        <f t="shared" ref="L316:L323" si="60">M316/10*12</f>
        <v>105</v>
      </c>
      <c r="M316" s="24">
        <v>87.5</v>
      </c>
      <c r="N316" s="24">
        <v>100</v>
      </c>
      <c r="O316" s="24">
        <f t="shared" si="54"/>
        <v>100</v>
      </c>
      <c r="P316" s="215">
        <f t="shared" si="55"/>
        <v>100</v>
      </c>
    </row>
    <row r="317" spans="1:20" ht="15" hidden="1" customHeight="1" outlineLevel="1" x14ac:dyDescent="0.25">
      <c r="A317" s="39" t="s">
        <v>11</v>
      </c>
      <c r="B317" s="46" t="s">
        <v>503</v>
      </c>
      <c r="C317" s="248"/>
      <c r="D317" s="23" t="s">
        <v>88</v>
      </c>
      <c r="E317" s="20" t="s">
        <v>17</v>
      </c>
      <c r="F317" s="20" t="s">
        <v>194</v>
      </c>
      <c r="G317" s="20" t="s">
        <v>92</v>
      </c>
      <c r="H317" s="24">
        <v>267.2</v>
      </c>
      <c r="I317" s="24">
        <v>0</v>
      </c>
      <c r="J317" s="24">
        <v>200</v>
      </c>
      <c r="K317" s="24">
        <v>200</v>
      </c>
      <c r="L317" s="24">
        <f t="shared" si="60"/>
        <v>154.22399999999999</v>
      </c>
      <c r="M317" s="24">
        <v>128.52000000000001</v>
      </c>
      <c r="N317" s="24">
        <v>200</v>
      </c>
      <c r="O317" s="24">
        <f t="shared" si="54"/>
        <v>200</v>
      </c>
      <c r="P317" s="215">
        <f t="shared" si="55"/>
        <v>200</v>
      </c>
    </row>
    <row r="318" spans="1:20" ht="15" hidden="1" customHeight="1" outlineLevel="1" x14ac:dyDescent="0.25">
      <c r="A318" s="39" t="s">
        <v>11</v>
      </c>
      <c r="B318" s="46" t="s">
        <v>503</v>
      </c>
      <c r="C318" s="248"/>
      <c r="D318" s="23" t="s">
        <v>103</v>
      </c>
      <c r="E318" s="20" t="s">
        <v>14</v>
      </c>
      <c r="F318" s="20" t="s">
        <v>194</v>
      </c>
      <c r="G318" s="20" t="s">
        <v>104</v>
      </c>
      <c r="H318" s="24">
        <v>0</v>
      </c>
      <c r="I318" s="24">
        <v>33.81</v>
      </c>
      <c r="J318" s="24">
        <v>0</v>
      </c>
      <c r="K318" s="24">
        <v>0</v>
      </c>
      <c r="L318" s="24">
        <f t="shared" si="60"/>
        <v>0</v>
      </c>
      <c r="M318" s="24">
        <v>0</v>
      </c>
      <c r="N318" s="24">
        <v>0</v>
      </c>
      <c r="O318" s="24">
        <f t="shared" si="54"/>
        <v>0</v>
      </c>
      <c r="P318" s="215">
        <f t="shared" si="55"/>
        <v>0</v>
      </c>
    </row>
    <row r="319" spans="1:20" ht="15" hidden="1" customHeight="1" outlineLevel="1" x14ac:dyDescent="0.25">
      <c r="A319" s="39" t="s">
        <v>11</v>
      </c>
      <c r="B319" s="46" t="s">
        <v>503</v>
      </c>
      <c r="C319" s="248"/>
      <c r="D319" s="23" t="s">
        <v>103</v>
      </c>
      <c r="E319" s="20" t="s">
        <v>17</v>
      </c>
      <c r="F319" s="20" t="s">
        <v>194</v>
      </c>
      <c r="G319" s="20" t="s">
        <v>104</v>
      </c>
      <c r="H319" s="24">
        <v>50</v>
      </c>
      <c r="I319" s="24">
        <v>16.190000000000001</v>
      </c>
      <c r="J319" s="24">
        <v>100</v>
      </c>
      <c r="K319" s="24">
        <v>100</v>
      </c>
      <c r="L319" s="24">
        <f t="shared" si="60"/>
        <v>37.356000000000002</v>
      </c>
      <c r="M319" s="24">
        <v>31.13</v>
      </c>
      <c r="N319" s="24">
        <v>100</v>
      </c>
      <c r="O319" s="24">
        <f t="shared" si="54"/>
        <v>100</v>
      </c>
      <c r="P319" s="215">
        <f t="shared" si="55"/>
        <v>100</v>
      </c>
    </row>
    <row r="320" spans="1:20" ht="15" hidden="1" customHeight="1" outlineLevel="1" x14ac:dyDescent="0.25">
      <c r="A320" s="39" t="s">
        <v>11</v>
      </c>
      <c r="B320" s="46" t="s">
        <v>503</v>
      </c>
      <c r="C320" s="248"/>
      <c r="D320" s="23" t="s">
        <v>105</v>
      </c>
      <c r="E320" s="20" t="s">
        <v>17</v>
      </c>
      <c r="F320" s="20" t="s">
        <v>194</v>
      </c>
      <c r="G320" s="20" t="s">
        <v>106</v>
      </c>
      <c r="H320" s="24">
        <v>27.01</v>
      </c>
      <c r="I320" s="24">
        <v>16.3</v>
      </c>
      <c r="J320" s="24">
        <v>15</v>
      </c>
      <c r="K320" s="24">
        <v>15</v>
      </c>
      <c r="L320" s="24">
        <f t="shared" si="60"/>
        <v>12.852000000000002</v>
      </c>
      <c r="M320" s="24">
        <v>10.71</v>
      </c>
      <c r="N320" s="24">
        <v>15</v>
      </c>
      <c r="O320" s="24">
        <f t="shared" si="54"/>
        <v>15</v>
      </c>
      <c r="P320" s="215">
        <f t="shared" si="55"/>
        <v>15</v>
      </c>
    </row>
    <row r="321" spans="1:16" collapsed="1" x14ac:dyDescent="0.25">
      <c r="A321" s="39"/>
      <c r="B321" s="46"/>
      <c r="C321" s="248"/>
      <c r="D321" s="47" t="s">
        <v>470</v>
      </c>
      <c r="E321" s="20"/>
      <c r="F321" s="20"/>
      <c r="G321" s="39" t="s">
        <v>471</v>
      </c>
      <c r="H321" s="24">
        <f>SUM(H315:H320)</f>
        <v>584.07999999999993</v>
      </c>
      <c r="I321" s="24">
        <f t="shared" ref="I321:P321" si="61">SUM(I315:I320)</f>
        <v>268.38</v>
      </c>
      <c r="J321" s="24">
        <f t="shared" si="61"/>
        <v>365</v>
      </c>
      <c r="K321" s="24">
        <f t="shared" si="61"/>
        <v>1679.26</v>
      </c>
      <c r="L321" s="24">
        <f t="shared" si="61"/>
        <v>1509.432</v>
      </c>
      <c r="M321" s="24">
        <f t="shared" si="61"/>
        <v>257.86</v>
      </c>
      <c r="N321" s="24">
        <f t="shared" si="61"/>
        <v>915</v>
      </c>
      <c r="O321" s="24">
        <f t="shared" si="61"/>
        <v>915</v>
      </c>
      <c r="P321" s="215">
        <f t="shared" si="61"/>
        <v>915</v>
      </c>
    </row>
    <row r="322" spans="1:16" ht="15" hidden="1" customHeight="1" outlineLevel="1" x14ac:dyDescent="0.25">
      <c r="A322" s="39" t="s">
        <v>11</v>
      </c>
      <c r="B322" s="46" t="s">
        <v>503</v>
      </c>
      <c r="C322" s="248"/>
      <c r="D322" s="23" t="s">
        <v>128</v>
      </c>
      <c r="E322" s="20" t="s">
        <v>17</v>
      </c>
      <c r="F322" s="20" t="s">
        <v>194</v>
      </c>
      <c r="G322" s="20" t="s">
        <v>201</v>
      </c>
      <c r="H322" s="24">
        <v>130</v>
      </c>
      <c r="I322" s="24">
        <v>167</v>
      </c>
      <c r="J322" s="24">
        <v>160</v>
      </c>
      <c r="K322" s="24">
        <v>160</v>
      </c>
      <c r="L322" s="24">
        <f t="shared" si="60"/>
        <v>4.032</v>
      </c>
      <c r="M322" s="24">
        <v>3.36</v>
      </c>
      <c r="N322" s="24">
        <v>120</v>
      </c>
      <c r="O322" s="24">
        <f t="shared" si="54"/>
        <v>120</v>
      </c>
      <c r="P322" s="215">
        <f t="shared" si="55"/>
        <v>120</v>
      </c>
    </row>
    <row r="323" spans="1:16" ht="15" hidden="1" customHeight="1" outlineLevel="1" x14ac:dyDescent="0.25">
      <c r="A323" s="39" t="s">
        <v>11</v>
      </c>
      <c r="B323" s="46" t="s">
        <v>503</v>
      </c>
      <c r="C323" s="248"/>
      <c r="D323" s="23" t="s">
        <v>202</v>
      </c>
      <c r="E323" s="20" t="s">
        <v>17</v>
      </c>
      <c r="F323" s="20" t="s">
        <v>194</v>
      </c>
      <c r="G323" s="20" t="s">
        <v>203</v>
      </c>
      <c r="H323" s="24">
        <v>0</v>
      </c>
      <c r="I323" s="24">
        <v>99.58</v>
      </c>
      <c r="J323" s="24">
        <v>100</v>
      </c>
      <c r="K323" s="24">
        <v>100</v>
      </c>
      <c r="L323" s="24">
        <f t="shared" si="60"/>
        <v>0</v>
      </c>
      <c r="M323" s="24">
        <v>0</v>
      </c>
      <c r="N323" s="24">
        <v>100</v>
      </c>
      <c r="O323" s="24">
        <f t="shared" si="54"/>
        <v>100</v>
      </c>
      <c r="P323" s="215">
        <f t="shared" si="55"/>
        <v>100</v>
      </c>
    </row>
    <row r="324" spans="1:16" ht="15" hidden="1" customHeight="1" outlineLevel="1" x14ac:dyDescent="0.25">
      <c r="A324" s="39" t="s">
        <v>11</v>
      </c>
      <c r="B324" s="46" t="s">
        <v>503</v>
      </c>
      <c r="C324" s="248"/>
      <c r="D324" s="23" t="s">
        <v>151</v>
      </c>
      <c r="E324" s="20" t="s">
        <v>17</v>
      </c>
      <c r="F324" s="20" t="s">
        <v>194</v>
      </c>
      <c r="G324" s="20" t="s">
        <v>152</v>
      </c>
      <c r="H324" s="24">
        <v>407.23</v>
      </c>
      <c r="I324" s="24">
        <v>390.41</v>
      </c>
      <c r="J324" s="24">
        <v>800</v>
      </c>
      <c r="K324" s="24">
        <v>800</v>
      </c>
      <c r="L324" s="24">
        <f>M324+2.55*15*2*2</f>
        <v>657.9</v>
      </c>
      <c r="M324" s="24">
        <v>504.9</v>
      </c>
      <c r="N324" s="24">
        <v>1102</v>
      </c>
      <c r="O324" s="24">
        <f t="shared" si="54"/>
        <v>1102</v>
      </c>
      <c r="P324" s="215">
        <f t="shared" si="55"/>
        <v>1102</v>
      </c>
    </row>
    <row r="325" spans="1:16" ht="15" hidden="1" customHeight="1" outlineLevel="1" x14ac:dyDescent="0.25">
      <c r="A325" s="39" t="s">
        <v>11</v>
      </c>
      <c r="B325" s="46" t="s">
        <v>503</v>
      </c>
      <c r="C325" s="248"/>
      <c r="D325" s="23" t="s">
        <v>155</v>
      </c>
      <c r="E325" s="20" t="s">
        <v>17</v>
      </c>
      <c r="F325" s="20" t="s">
        <v>194</v>
      </c>
      <c r="G325" s="20" t="s">
        <v>156</v>
      </c>
      <c r="H325" s="24">
        <v>101.72</v>
      </c>
      <c r="I325" s="24">
        <v>129.44999999999999</v>
      </c>
      <c r="J325" s="24">
        <v>250</v>
      </c>
      <c r="K325" s="24">
        <v>250</v>
      </c>
      <c r="L325" s="24">
        <v>240</v>
      </c>
      <c r="M325" s="24">
        <v>195.39</v>
      </c>
      <c r="N325" s="24">
        <v>251</v>
      </c>
      <c r="O325" s="24">
        <f t="shared" si="54"/>
        <v>251</v>
      </c>
      <c r="P325" s="215">
        <f t="shared" si="55"/>
        <v>251</v>
      </c>
    </row>
    <row r="326" spans="1:16" ht="15" customHeight="1" collapsed="1" x14ac:dyDescent="0.25">
      <c r="A326" s="39"/>
      <c r="B326" s="46"/>
      <c r="C326" s="248"/>
      <c r="D326" s="59" t="s">
        <v>478</v>
      </c>
      <c r="E326" s="22"/>
      <c r="F326" s="22"/>
      <c r="G326" s="45" t="s">
        <v>479</v>
      </c>
      <c r="H326" s="24">
        <f>SUM(H322:H325)</f>
        <v>638.95000000000005</v>
      </c>
      <c r="I326" s="24">
        <f t="shared" ref="I326:P326" si="62">SUM(I322:I325)</f>
        <v>786.44</v>
      </c>
      <c r="J326" s="24">
        <f t="shared" si="62"/>
        <v>1310</v>
      </c>
      <c r="K326" s="24">
        <f t="shared" si="62"/>
        <v>1310</v>
      </c>
      <c r="L326" s="24">
        <f t="shared" si="62"/>
        <v>901.93200000000002</v>
      </c>
      <c r="M326" s="24">
        <f t="shared" si="62"/>
        <v>703.65</v>
      </c>
      <c r="N326" s="24">
        <f t="shared" si="62"/>
        <v>1573</v>
      </c>
      <c r="O326" s="24">
        <f t="shared" si="62"/>
        <v>1573</v>
      </c>
      <c r="P326" s="215">
        <f t="shared" si="62"/>
        <v>1573</v>
      </c>
    </row>
    <row r="327" spans="1:16" ht="15" hidden="1" customHeight="1" outlineLevel="1" x14ac:dyDescent="0.25">
      <c r="A327" s="39" t="s">
        <v>11</v>
      </c>
      <c r="B327" s="46" t="s">
        <v>503</v>
      </c>
      <c r="C327" s="248"/>
      <c r="D327" s="23" t="s">
        <v>172</v>
      </c>
      <c r="E327" s="20" t="s">
        <v>14</v>
      </c>
      <c r="F327" s="20" t="s">
        <v>194</v>
      </c>
      <c r="G327" s="20" t="s">
        <v>173</v>
      </c>
      <c r="H327" s="24">
        <v>8</v>
      </c>
      <c r="I327" s="24">
        <v>8</v>
      </c>
      <c r="J327" s="24">
        <v>8</v>
      </c>
      <c r="K327" s="24">
        <v>8</v>
      </c>
      <c r="L327" s="24">
        <v>8</v>
      </c>
      <c r="M327" s="24">
        <v>8</v>
      </c>
      <c r="N327" s="24">
        <v>8</v>
      </c>
      <c r="O327" s="24">
        <f t="shared" si="54"/>
        <v>8</v>
      </c>
      <c r="P327" s="215">
        <f t="shared" si="55"/>
        <v>8</v>
      </c>
    </row>
    <row r="328" spans="1:16" ht="15.75" collapsed="1" thickBot="1" x14ac:dyDescent="0.3">
      <c r="A328" s="39"/>
      <c r="B328" s="46"/>
      <c r="C328" s="248"/>
      <c r="D328" s="59" t="s">
        <v>474</v>
      </c>
      <c r="E328" s="22"/>
      <c r="F328" s="22"/>
      <c r="G328" s="45" t="s">
        <v>475</v>
      </c>
      <c r="H328" s="29">
        <f>SUM(H327)</f>
        <v>8</v>
      </c>
      <c r="I328" s="29">
        <f t="shared" ref="I328:P328" si="63">SUM(I327)</f>
        <v>8</v>
      </c>
      <c r="J328" s="29">
        <f t="shared" si="63"/>
        <v>8</v>
      </c>
      <c r="K328" s="29">
        <f t="shared" si="63"/>
        <v>8</v>
      </c>
      <c r="L328" s="29">
        <f t="shared" si="63"/>
        <v>8</v>
      </c>
      <c r="M328" s="29">
        <f t="shared" si="63"/>
        <v>8</v>
      </c>
      <c r="N328" s="29">
        <f t="shared" si="63"/>
        <v>8</v>
      </c>
      <c r="O328" s="29">
        <f t="shared" si="63"/>
        <v>8</v>
      </c>
      <c r="P328" s="217">
        <f t="shared" si="63"/>
        <v>8</v>
      </c>
    </row>
    <row r="329" spans="1:16" ht="15.75" thickBot="1" x14ac:dyDescent="0.3">
      <c r="A329" s="74" t="s">
        <v>555</v>
      </c>
      <c r="B329" s="16"/>
      <c r="C329" s="249"/>
      <c r="D329" s="60" t="s">
        <v>593</v>
      </c>
      <c r="E329" s="61"/>
      <c r="F329" s="61" t="s">
        <v>194</v>
      </c>
      <c r="G329" s="61" t="s">
        <v>616</v>
      </c>
      <c r="H329" s="62">
        <f>H288+H306+H308+H314+H321+H326+H328</f>
        <v>13089.33</v>
      </c>
      <c r="I329" s="62">
        <f t="shared" ref="I329:P329" si="64">I288+I306+I308+I314+I321+I326+I328</f>
        <v>15253.009999999998</v>
      </c>
      <c r="J329" s="62">
        <f t="shared" si="64"/>
        <v>33065</v>
      </c>
      <c r="K329" s="62">
        <f t="shared" si="64"/>
        <v>34379.26</v>
      </c>
      <c r="L329" s="62">
        <f t="shared" si="64"/>
        <v>34879.754500000003</v>
      </c>
      <c r="M329" s="62">
        <f t="shared" si="64"/>
        <v>27347.850000000002</v>
      </c>
      <c r="N329" s="62">
        <f t="shared" si="64"/>
        <v>37667</v>
      </c>
      <c r="O329" s="62">
        <f t="shared" si="64"/>
        <v>37667</v>
      </c>
      <c r="P329" s="63">
        <f t="shared" si="64"/>
        <v>37667</v>
      </c>
    </row>
    <row r="330" spans="1:16" ht="15.75" thickBot="1" x14ac:dyDescent="0.3">
      <c r="A330" s="3"/>
      <c r="B330" s="3"/>
      <c r="C330" s="166" t="s">
        <v>204</v>
      </c>
      <c r="D330" s="166"/>
      <c r="E330" s="166"/>
      <c r="F330" s="166"/>
      <c r="G330" s="167" t="s">
        <v>618</v>
      </c>
      <c r="H330" s="168">
        <v>5083.25</v>
      </c>
      <c r="I330" s="168">
        <v>6668.51</v>
      </c>
      <c r="J330" s="168">
        <v>15000</v>
      </c>
      <c r="K330" s="168">
        <v>15000</v>
      </c>
      <c r="L330" s="168">
        <v>15940.75</v>
      </c>
      <c r="M330" s="168">
        <v>15940.75</v>
      </c>
      <c r="N330" s="168">
        <v>20000</v>
      </c>
      <c r="O330" s="169">
        <v>20000</v>
      </c>
      <c r="P330" s="169">
        <v>20000</v>
      </c>
    </row>
    <row r="331" spans="1:16" ht="15.75" thickBot="1" x14ac:dyDescent="0.3">
      <c r="A331" s="3"/>
      <c r="B331" s="3"/>
      <c r="C331" s="166" t="s">
        <v>209</v>
      </c>
      <c r="D331" s="166"/>
      <c r="E331" s="166"/>
      <c r="F331" s="166"/>
      <c r="G331" s="167" t="s">
        <v>714</v>
      </c>
      <c r="H331" s="168">
        <f>H336+H368</f>
        <v>477.51</v>
      </c>
      <c r="I331" s="168">
        <f t="shared" ref="I331:P331" si="65">I336+I368</f>
        <v>499.78999999999996</v>
      </c>
      <c r="J331" s="168">
        <f t="shared" si="65"/>
        <v>500</v>
      </c>
      <c r="K331" s="168">
        <f t="shared" si="65"/>
        <v>21076</v>
      </c>
      <c r="L331" s="168">
        <f t="shared" si="65"/>
        <v>22217.84</v>
      </c>
      <c r="M331" s="168">
        <f t="shared" si="65"/>
        <v>11750.130000000001</v>
      </c>
      <c r="N331" s="168">
        <f t="shared" si="65"/>
        <v>49912</v>
      </c>
      <c r="O331" s="168">
        <f t="shared" si="65"/>
        <v>49912</v>
      </c>
      <c r="P331" s="168">
        <f t="shared" si="65"/>
        <v>500</v>
      </c>
    </row>
    <row r="332" spans="1:16" hidden="1" outlineLevel="1" x14ac:dyDescent="0.25">
      <c r="A332" s="39" t="s">
        <v>11</v>
      </c>
      <c r="B332" s="46" t="s">
        <v>509</v>
      </c>
      <c r="C332" s="200" t="s">
        <v>209</v>
      </c>
      <c r="D332" s="40" t="s">
        <v>54</v>
      </c>
      <c r="E332" s="40" t="s">
        <v>17</v>
      </c>
      <c r="F332" s="40" t="s">
        <v>215</v>
      </c>
      <c r="G332" s="40" t="s">
        <v>55</v>
      </c>
      <c r="H332" s="41">
        <v>0</v>
      </c>
      <c r="I332" s="41">
        <v>33.28</v>
      </c>
      <c r="J332" s="41">
        <v>0</v>
      </c>
      <c r="K332" s="41">
        <v>0</v>
      </c>
      <c r="L332" s="41">
        <v>0</v>
      </c>
      <c r="M332" s="41">
        <v>0</v>
      </c>
      <c r="N332" s="41">
        <v>0</v>
      </c>
      <c r="O332" s="41">
        <f t="shared" ref="O332:O366" si="66">N332</f>
        <v>0</v>
      </c>
      <c r="P332" s="201">
        <f t="shared" ref="P332:P366" si="67">N332</f>
        <v>0</v>
      </c>
    </row>
    <row r="333" spans="1:16" hidden="1" outlineLevel="1" x14ac:dyDescent="0.25">
      <c r="A333" s="15" t="s">
        <v>11</v>
      </c>
      <c r="B333" s="16" t="s">
        <v>509</v>
      </c>
      <c r="C333" s="219" t="s">
        <v>209</v>
      </c>
      <c r="D333" s="15" t="s">
        <v>88</v>
      </c>
      <c r="E333" s="15" t="s">
        <v>17</v>
      </c>
      <c r="F333" s="15" t="s">
        <v>215</v>
      </c>
      <c r="G333" s="15" t="s">
        <v>218</v>
      </c>
      <c r="H333" s="19">
        <v>477.51</v>
      </c>
      <c r="I333" s="19">
        <v>95.62</v>
      </c>
      <c r="J333" s="19">
        <v>500</v>
      </c>
      <c r="K333" s="19">
        <v>500</v>
      </c>
      <c r="L333" s="19">
        <v>0</v>
      </c>
      <c r="M333" s="19">
        <v>0</v>
      </c>
      <c r="N333" s="19">
        <v>500</v>
      </c>
      <c r="O333" s="19">
        <f t="shared" si="66"/>
        <v>500</v>
      </c>
      <c r="P333" s="220">
        <f t="shared" si="67"/>
        <v>500</v>
      </c>
    </row>
    <row r="334" spans="1:16" ht="15.75" hidden="1" outlineLevel="1" thickBot="1" x14ac:dyDescent="0.3">
      <c r="A334" s="39" t="s">
        <v>11</v>
      </c>
      <c r="B334" s="46" t="s">
        <v>509</v>
      </c>
      <c r="C334" s="204" t="s">
        <v>209</v>
      </c>
      <c r="D334" s="45" t="s">
        <v>107</v>
      </c>
      <c r="E334" s="45" t="s">
        <v>17</v>
      </c>
      <c r="F334" s="45" t="s">
        <v>215</v>
      </c>
      <c r="G334" s="45" t="s">
        <v>108</v>
      </c>
      <c r="H334" s="64">
        <v>0</v>
      </c>
      <c r="I334" s="64">
        <v>370.89</v>
      </c>
      <c r="J334" s="64">
        <v>0</v>
      </c>
      <c r="K334" s="64">
        <v>0</v>
      </c>
      <c r="L334" s="64">
        <v>0</v>
      </c>
      <c r="M334" s="64">
        <v>0</v>
      </c>
      <c r="N334" s="64">
        <v>0</v>
      </c>
      <c r="O334" s="64">
        <f t="shared" si="66"/>
        <v>0</v>
      </c>
      <c r="P334" s="205">
        <f t="shared" si="67"/>
        <v>0</v>
      </c>
    </row>
    <row r="335" spans="1:16" ht="15.75" hidden="1" outlineLevel="1" thickBot="1" x14ac:dyDescent="0.3">
      <c r="A335" s="39"/>
      <c r="B335" s="46"/>
      <c r="C335" s="34" t="s">
        <v>620</v>
      </c>
      <c r="D335" s="35"/>
      <c r="E335" s="35"/>
      <c r="F335" s="35"/>
      <c r="G335" s="37" t="s">
        <v>709</v>
      </c>
      <c r="H335" s="38">
        <f>H336+H368</f>
        <v>477.51</v>
      </c>
      <c r="I335" s="38">
        <f t="shared" ref="I335:O335" si="68">I336+I368</f>
        <v>499.78999999999996</v>
      </c>
      <c r="J335" s="38">
        <f t="shared" si="68"/>
        <v>500</v>
      </c>
      <c r="K335" s="38">
        <f t="shared" si="68"/>
        <v>21076</v>
      </c>
      <c r="L335" s="38">
        <f t="shared" si="68"/>
        <v>22217.84</v>
      </c>
      <c r="M335" s="38">
        <f t="shared" si="68"/>
        <v>11750.130000000001</v>
      </c>
      <c r="N335" s="38">
        <f t="shared" si="68"/>
        <v>49912</v>
      </c>
      <c r="O335" s="38">
        <f t="shared" si="68"/>
        <v>49912</v>
      </c>
      <c r="P335" s="66">
        <f>P336+P368</f>
        <v>500</v>
      </c>
    </row>
    <row r="336" spans="1:16" ht="15.75" collapsed="1" thickBot="1" x14ac:dyDescent="0.3">
      <c r="A336" s="39" t="s">
        <v>11</v>
      </c>
      <c r="B336" s="46" t="s">
        <v>509</v>
      </c>
      <c r="C336" s="245"/>
      <c r="D336" s="60" t="s">
        <v>593</v>
      </c>
      <c r="E336" s="76"/>
      <c r="F336" s="76"/>
      <c r="G336" s="61" t="s">
        <v>619</v>
      </c>
      <c r="H336" s="62">
        <f>SUM(H332:H334)</f>
        <v>477.51</v>
      </c>
      <c r="I336" s="62">
        <f t="shared" ref="I336:P336" si="69">SUM(I332:I334)</f>
        <v>499.78999999999996</v>
      </c>
      <c r="J336" s="62">
        <f t="shared" si="69"/>
        <v>500</v>
      </c>
      <c r="K336" s="62">
        <f t="shared" si="69"/>
        <v>500</v>
      </c>
      <c r="L336" s="62">
        <f t="shared" si="69"/>
        <v>0</v>
      </c>
      <c r="M336" s="62">
        <f t="shared" si="69"/>
        <v>0</v>
      </c>
      <c r="N336" s="62">
        <f t="shared" si="69"/>
        <v>500</v>
      </c>
      <c r="O336" s="62">
        <f t="shared" si="69"/>
        <v>500</v>
      </c>
      <c r="P336" s="63">
        <f t="shared" si="69"/>
        <v>500</v>
      </c>
    </row>
    <row r="337" spans="1:16" ht="15" hidden="1" customHeight="1" outlineLevel="1" x14ac:dyDescent="0.25">
      <c r="A337" s="39"/>
      <c r="B337" s="46"/>
      <c r="C337" s="246"/>
      <c r="D337" s="58" t="s">
        <v>13</v>
      </c>
      <c r="E337" s="40" t="s">
        <v>17</v>
      </c>
      <c r="F337" s="40" t="s">
        <v>210</v>
      </c>
      <c r="G337" s="40" t="s">
        <v>211</v>
      </c>
      <c r="H337" s="41">
        <v>0</v>
      </c>
      <c r="I337" s="41">
        <v>0</v>
      </c>
      <c r="J337" s="41">
        <v>0</v>
      </c>
      <c r="K337" s="41">
        <v>13800</v>
      </c>
      <c r="L337" s="41">
        <v>14373.25</v>
      </c>
      <c r="M337" s="41">
        <v>7853.25</v>
      </c>
      <c r="N337" s="41">
        <v>34200</v>
      </c>
      <c r="O337" s="41">
        <f t="shared" si="66"/>
        <v>34200</v>
      </c>
      <c r="P337" s="201">
        <f t="shared" si="67"/>
        <v>34200</v>
      </c>
    </row>
    <row r="338" spans="1:16" collapsed="1" x14ac:dyDescent="0.25">
      <c r="A338" s="39" t="s">
        <v>11</v>
      </c>
      <c r="B338" s="46" t="s">
        <v>509</v>
      </c>
      <c r="C338" s="246"/>
      <c r="D338" s="47" t="s">
        <v>468</v>
      </c>
      <c r="E338" s="39"/>
      <c r="F338" s="39"/>
      <c r="G338" s="20" t="s">
        <v>610</v>
      </c>
      <c r="H338" s="24">
        <f>SUM(H337)</f>
        <v>0</v>
      </c>
      <c r="I338" s="24">
        <f t="shared" ref="I338:O338" si="70">SUM(I337)</f>
        <v>0</v>
      </c>
      <c r="J338" s="24">
        <f t="shared" si="70"/>
        <v>0</v>
      </c>
      <c r="K338" s="24">
        <f t="shared" si="70"/>
        <v>13800</v>
      </c>
      <c r="L338" s="24">
        <f t="shared" si="70"/>
        <v>14373.25</v>
      </c>
      <c r="M338" s="24">
        <f t="shared" si="70"/>
        <v>7853.25</v>
      </c>
      <c r="N338" s="24">
        <f t="shared" si="70"/>
        <v>34200</v>
      </c>
      <c r="O338" s="24">
        <f t="shared" si="70"/>
        <v>34200</v>
      </c>
      <c r="P338" s="215">
        <v>0</v>
      </c>
    </row>
    <row r="339" spans="1:16" ht="13.5" hidden="1" customHeight="1" outlineLevel="1" x14ac:dyDescent="0.25">
      <c r="A339" s="39" t="s">
        <v>11</v>
      </c>
      <c r="B339" s="46" t="s">
        <v>509</v>
      </c>
      <c r="C339" s="246"/>
      <c r="D339" s="47" t="s">
        <v>22</v>
      </c>
      <c r="E339" s="39" t="s">
        <v>17</v>
      </c>
      <c r="F339" s="39" t="s">
        <v>210</v>
      </c>
      <c r="G339" s="20" t="s">
        <v>23</v>
      </c>
      <c r="H339" s="24">
        <v>0</v>
      </c>
      <c r="I339" s="24">
        <v>0</v>
      </c>
      <c r="J339" s="24">
        <v>0</v>
      </c>
      <c r="K339" s="24">
        <v>200</v>
      </c>
      <c r="L339" s="24">
        <v>762.26</v>
      </c>
      <c r="M339" s="24">
        <v>110.26</v>
      </c>
      <c r="N339" s="24">
        <v>856</v>
      </c>
      <c r="O339" s="24">
        <f t="shared" si="66"/>
        <v>856</v>
      </c>
      <c r="P339" s="215">
        <f t="shared" si="67"/>
        <v>856</v>
      </c>
    </row>
    <row r="340" spans="1:16" ht="15" hidden="1" customHeight="1" outlineLevel="1" x14ac:dyDescent="0.25">
      <c r="A340" s="39" t="s">
        <v>11</v>
      </c>
      <c r="B340" s="46" t="s">
        <v>509</v>
      </c>
      <c r="C340" s="246"/>
      <c r="D340" s="47" t="s">
        <v>26</v>
      </c>
      <c r="E340" s="39" t="s">
        <v>17</v>
      </c>
      <c r="F340" s="39" t="s">
        <v>210</v>
      </c>
      <c r="G340" s="20" t="s">
        <v>195</v>
      </c>
      <c r="H340" s="24">
        <v>0</v>
      </c>
      <c r="I340" s="24">
        <v>0</v>
      </c>
      <c r="J340" s="24">
        <v>0</v>
      </c>
      <c r="K340" s="24">
        <v>730</v>
      </c>
      <c r="L340" s="24">
        <v>379.83</v>
      </c>
      <c r="M340" s="24">
        <v>379.83</v>
      </c>
      <c r="N340" s="24">
        <v>1710</v>
      </c>
      <c r="O340" s="24">
        <f t="shared" si="66"/>
        <v>1710</v>
      </c>
      <c r="P340" s="215">
        <f t="shared" si="67"/>
        <v>1710</v>
      </c>
    </row>
    <row r="341" spans="1:16" ht="15" hidden="1" customHeight="1" outlineLevel="1" x14ac:dyDescent="0.25">
      <c r="A341" s="39" t="s">
        <v>11</v>
      </c>
      <c r="B341" s="46" t="s">
        <v>509</v>
      </c>
      <c r="C341" s="246"/>
      <c r="D341" s="47" t="s">
        <v>26</v>
      </c>
      <c r="E341" s="39" t="s">
        <v>17</v>
      </c>
      <c r="F341" s="39" t="s">
        <v>210</v>
      </c>
      <c r="G341" s="20" t="s">
        <v>212</v>
      </c>
      <c r="H341" s="24">
        <v>0</v>
      </c>
      <c r="I341" s="24">
        <v>0</v>
      </c>
      <c r="J341" s="24">
        <v>0</v>
      </c>
      <c r="K341" s="24">
        <v>300</v>
      </c>
      <c r="L341" s="24">
        <v>171.84</v>
      </c>
      <c r="M341" s="24">
        <v>171.84</v>
      </c>
      <c r="N341" s="24">
        <v>856</v>
      </c>
      <c r="O341" s="24">
        <f t="shared" si="66"/>
        <v>856</v>
      </c>
      <c r="P341" s="215">
        <f t="shared" si="67"/>
        <v>856</v>
      </c>
    </row>
    <row r="342" spans="1:16" ht="15" hidden="1" customHeight="1" outlineLevel="1" x14ac:dyDescent="0.25">
      <c r="A342" s="39" t="s">
        <v>11</v>
      </c>
      <c r="B342" s="46" t="s">
        <v>509</v>
      </c>
      <c r="C342" s="246"/>
      <c r="D342" s="47" t="s">
        <v>29</v>
      </c>
      <c r="E342" s="39" t="s">
        <v>17</v>
      </c>
      <c r="F342" s="39" t="s">
        <v>210</v>
      </c>
      <c r="G342" s="20" t="s">
        <v>184</v>
      </c>
      <c r="H342" s="24">
        <v>0</v>
      </c>
      <c r="I342" s="24">
        <v>0</v>
      </c>
      <c r="J342" s="24">
        <v>0</v>
      </c>
      <c r="K342" s="24">
        <v>200</v>
      </c>
      <c r="L342" s="24">
        <v>200.84</v>
      </c>
      <c r="M342" s="24">
        <v>109.56</v>
      </c>
      <c r="N342" s="24">
        <v>480</v>
      </c>
      <c r="O342" s="24">
        <f t="shared" si="66"/>
        <v>480</v>
      </c>
      <c r="P342" s="215">
        <f t="shared" si="67"/>
        <v>480</v>
      </c>
    </row>
    <row r="343" spans="1:16" ht="15" hidden="1" customHeight="1" outlineLevel="1" x14ac:dyDescent="0.25">
      <c r="A343" s="39" t="s">
        <v>11</v>
      </c>
      <c r="B343" s="46" t="s">
        <v>509</v>
      </c>
      <c r="C343" s="246"/>
      <c r="D343" s="47" t="s">
        <v>32</v>
      </c>
      <c r="E343" s="39" t="s">
        <v>17</v>
      </c>
      <c r="F343" s="39" t="s">
        <v>210</v>
      </c>
      <c r="G343" s="20" t="s">
        <v>185</v>
      </c>
      <c r="H343" s="24">
        <v>0</v>
      </c>
      <c r="I343" s="24">
        <v>0</v>
      </c>
      <c r="J343" s="24">
        <v>0</v>
      </c>
      <c r="K343" s="24">
        <v>1930</v>
      </c>
      <c r="L343" s="24">
        <v>2008.81</v>
      </c>
      <c r="M343" s="24">
        <v>1096.01</v>
      </c>
      <c r="N343" s="24">
        <v>4695</v>
      </c>
      <c r="O343" s="24">
        <f t="shared" si="66"/>
        <v>4695</v>
      </c>
      <c r="P343" s="215">
        <f t="shared" si="67"/>
        <v>4695</v>
      </c>
    </row>
    <row r="344" spans="1:16" ht="15" hidden="1" customHeight="1" outlineLevel="1" x14ac:dyDescent="0.25">
      <c r="A344" s="39" t="s">
        <v>11</v>
      </c>
      <c r="B344" s="46" t="s">
        <v>509</v>
      </c>
      <c r="C344" s="246"/>
      <c r="D344" s="47" t="s">
        <v>36</v>
      </c>
      <c r="E344" s="39" t="s">
        <v>17</v>
      </c>
      <c r="F344" s="39" t="s">
        <v>210</v>
      </c>
      <c r="G344" s="20" t="s">
        <v>186</v>
      </c>
      <c r="H344" s="24">
        <v>0</v>
      </c>
      <c r="I344" s="24">
        <v>0</v>
      </c>
      <c r="J344" s="24">
        <v>0</v>
      </c>
      <c r="K344" s="24">
        <v>120</v>
      </c>
      <c r="L344" s="24">
        <v>114.74000000000001</v>
      </c>
      <c r="M344" s="24">
        <v>62.58</v>
      </c>
      <c r="N344" s="24">
        <v>274</v>
      </c>
      <c r="O344" s="24">
        <f t="shared" si="66"/>
        <v>274</v>
      </c>
      <c r="P344" s="215">
        <f t="shared" si="67"/>
        <v>274</v>
      </c>
    </row>
    <row r="345" spans="1:16" ht="15" hidden="1" customHeight="1" outlineLevel="1" x14ac:dyDescent="0.25">
      <c r="A345" s="39" t="s">
        <v>11</v>
      </c>
      <c r="B345" s="46" t="s">
        <v>509</v>
      </c>
      <c r="C345" s="246"/>
      <c r="D345" s="47" t="s">
        <v>40</v>
      </c>
      <c r="E345" s="39" t="s">
        <v>17</v>
      </c>
      <c r="F345" s="39" t="s">
        <v>210</v>
      </c>
      <c r="G345" s="20" t="s">
        <v>187</v>
      </c>
      <c r="H345" s="24">
        <v>0</v>
      </c>
      <c r="I345" s="24">
        <v>0</v>
      </c>
      <c r="J345" s="24">
        <v>0</v>
      </c>
      <c r="K345" s="24">
        <v>420</v>
      </c>
      <c r="L345" s="24">
        <v>430.41999999999996</v>
      </c>
      <c r="M345" s="24">
        <v>234.82</v>
      </c>
      <c r="N345" s="24">
        <v>1028</v>
      </c>
      <c r="O345" s="24">
        <f t="shared" si="66"/>
        <v>1028</v>
      </c>
      <c r="P345" s="215">
        <f t="shared" si="67"/>
        <v>1028</v>
      </c>
    </row>
    <row r="346" spans="1:16" ht="15" hidden="1" customHeight="1" outlineLevel="1" x14ac:dyDescent="0.25">
      <c r="A346" s="39" t="s">
        <v>11</v>
      </c>
      <c r="B346" s="46" t="s">
        <v>509</v>
      </c>
      <c r="C346" s="246"/>
      <c r="D346" s="47" t="s">
        <v>44</v>
      </c>
      <c r="E346" s="39" t="s">
        <v>17</v>
      </c>
      <c r="F346" s="39" t="s">
        <v>210</v>
      </c>
      <c r="G346" s="20" t="s">
        <v>47</v>
      </c>
      <c r="H346" s="24">
        <v>0</v>
      </c>
      <c r="I346" s="24">
        <v>0</v>
      </c>
      <c r="J346" s="24">
        <v>0</v>
      </c>
      <c r="K346" s="24">
        <v>150</v>
      </c>
      <c r="L346" s="24">
        <v>143.43</v>
      </c>
      <c r="M346" s="24">
        <v>78.23</v>
      </c>
      <c r="N346" s="24">
        <v>343</v>
      </c>
      <c r="O346" s="24">
        <f t="shared" si="66"/>
        <v>343</v>
      </c>
      <c r="P346" s="215">
        <f t="shared" si="67"/>
        <v>343</v>
      </c>
    </row>
    <row r="347" spans="1:16" ht="15" hidden="1" customHeight="1" outlineLevel="1" x14ac:dyDescent="0.25">
      <c r="A347" s="39"/>
      <c r="B347" s="46"/>
      <c r="C347" s="246"/>
      <c r="D347" s="47" t="s">
        <v>48</v>
      </c>
      <c r="E347" s="39" t="s">
        <v>17</v>
      </c>
      <c r="F347" s="39" t="s">
        <v>210</v>
      </c>
      <c r="G347" s="20" t="s">
        <v>188</v>
      </c>
      <c r="H347" s="24">
        <v>0</v>
      </c>
      <c r="I347" s="24">
        <v>0</v>
      </c>
      <c r="J347" s="24">
        <v>0</v>
      </c>
      <c r="K347" s="24">
        <v>660</v>
      </c>
      <c r="L347" s="24">
        <v>681.52</v>
      </c>
      <c r="M347" s="24">
        <v>371.82</v>
      </c>
      <c r="N347" s="24">
        <v>1557</v>
      </c>
      <c r="O347" s="24">
        <f t="shared" si="66"/>
        <v>1557</v>
      </c>
      <c r="P347" s="215">
        <f t="shared" si="67"/>
        <v>1557</v>
      </c>
    </row>
    <row r="348" spans="1:16" collapsed="1" x14ac:dyDescent="0.25">
      <c r="A348" s="39" t="s">
        <v>11</v>
      </c>
      <c r="B348" s="46" t="s">
        <v>509</v>
      </c>
      <c r="C348" s="246"/>
      <c r="D348" s="47" t="s">
        <v>469</v>
      </c>
      <c r="E348" s="39"/>
      <c r="F348" s="39"/>
      <c r="G348" s="20" t="s">
        <v>472</v>
      </c>
      <c r="H348" s="24">
        <f>SUM(H339:H347)</f>
        <v>0</v>
      </c>
      <c r="I348" s="24">
        <f t="shared" ref="I348:O348" si="71">SUM(I339:I347)</f>
        <v>0</v>
      </c>
      <c r="J348" s="24">
        <f t="shared" si="71"/>
        <v>0</v>
      </c>
      <c r="K348" s="24">
        <f t="shared" si="71"/>
        <v>4710</v>
      </c>
      <c r="L348" s="24">
        <f t="shared" si="71"/>
        <v>4893.6900000000005</v>
      </c>
      <c r="M348" s="24">
        <f t="shared" si="71"/>
        <v>2614.9500000000003</v>
      </c>
      <c r="N348" s="24">
        <f t="shared" si="71"/>
        <v>11799</v>
      </c>
      <c r="O348" s="24">
        <f t="shared" si="71"/>
        <v>11799</v>
      </c>
      <c r="P348" s="215">
        <v>0</v>
      </c>
    </row>
    <row r="349" spans="1:16" ht="15" hidden="1" customHeight="1" outlineLevel="1" x14ac:dyDescent="0.25">
      <c r="A349" s="39"/>
      <c r="B349" s="46"/>
      <c r="C349" s="246"/>
      <c r="D349" s="47" t="s">
        <v>54</v>
      </c>
      <c r="E349" s="39" t="s">
        <v>213</v>
      </c>
      <c r="F349" s="39" t="s">
        <v>210</v>
      </c>
      <c r="G349" s="20" t="s">
        <v>214</v>
      </c>
      <c r="H349" s="24">
        <v>0</v>
      </c>
      <c r="I349" s="24">
        <v>0</v>
      </c>
      <c r="J349" s="24">
        <v>0</v>
      </c>
      <c r="K349" s="24">
        <v>60</v>
      </c>
      <c r="L349" s="24">
        <v>15</v>
      </c>
      <c r="M349" s="24">
        <v>11.85</v>
      </c>
      <c r="N349" s="24">
        <v>20</v>
      </c>
      <c r="O349" s="24">
        <f t="shared" si="66"/>
        <v>20</v>
      </c>
      <c r="P349" s="215">
        <f t="shared" si="67"/>
        <v>20</v>
      </c>
    </row>
    <row r="350" spans="1:16" collapsed="1" x14ac:dyDescent="0.25">
      <c r="A350" s="39" t="s">
        <v>11</v>
      </c>
      <c r="B350" s="46" t="s">
        <v>509</v>
      </c>
      <c r="C350" s="246"/>
      <c r="D350" s="47" t="s">
        <v>480</v>
      </c>
      <c r="E350" s="39"/>
      <c r="F350" s="39"/>
      <c r="G350" s="20" t="s">
        <v>55</v>
      </c>
      <c r="H350" s="24">
        <f>SUM(H349)</f>
        <v>0</v>
      </c>
      <c r="I350" s="24">
        <f t="shared" ref="I350:O350" si="72">SUM(I349)</f>
        <v>0</v>
      </c>
      <c r="J350" s="24">
        <f t="shared" si="72"/>
        <v>0</v>
      </c>
      <c r="K350" s="24">
        <f t="shared" si="72"/>
        <v>60</v>
      </c>
      <c r="L350" s="24">
        <f t="shared" si="72"/>
        <v>15</v>
      </c>
      <c r="M350" s="24">
        <f t="shared" si="72"/>
        <v>11.85</v>
      </c>
      <c r="N350" s="24">
        <f t="shared" si="72"/>
        <v>20</v>
      </c>
      <c r="O350" s="24">
        <f t="shared" si="72"/>
        <v>20</v>
      </c>
      <c r="P350" s="215">
        <v>0</v>
      </c>
    </row>
    <row r="351" spans="1:16" ht="15" hidden="1" customHeight="1" outlineLevel="1" x14ac:dyDescent="0.25">
      <c r="A351" s="39" t="s">
        <v>11</v>
      </c>
      <c r="B351" s="46" t="s">
        <v>509</v>
      </c>
      <c r="C351" s="246"/>
      <c r="D351" s="47" t="s">
        <v>56</v>
      </c>
      <c r="E351" s="39" t="s">
        <v>17</v>
      </c>
      <c r="F351" s="39" t="s">
        <v>210</v>
      </c>
      <c r="G351" s="20" t="s">
        <v>189</v>
      </c>
      <c r="H351" s="24">
        <v>0</v>
      </c>
      <c r="I351" s="24">
        <v>0</v>
      </c>
      <c r="J351" s="24">
        <v>0</v>
      </c>
      <c r="K351" s="24">
        <v>0</v>
      </c>
      <c r="L351" s="24">
        <v>90</v>
      </c>
      <c r="M351" s="24">
        <v>20.48</v>
      </c>
      <c r="N351" s="24">
        <v>100</v>
      </c>
      <c r="O351" s="24">
        <f t="shared" si="66"/>
        <v>100</v>
      </c>
      <c r="P351" s="215">
        <f t="shared" si="67"/>
        <v>100</v>
      </c>
    </row>
    <row r="352" spans="1:16" ht="15" hidden="1" customHeight="1" outlineLevel="1" x14ac:dyDescent="0.25">
      <c r="A352" s="39" t="s">
        <v>11</v>
      </c>
      <c r="B352" s="46" t="s">
        <v>509</v>
      </c>
      <c r="C352" s="246"/>
      <c r="D352" s="47" t="s">
        <v>56</v>
      </c>
      <c r="E352" s="39" t="s">
        <v>17</v>
      </c>
      <c r="F352" s="39" t="s">
        <v>210</v>
      </c>
      <c r="G352" s="20" t="s">
        <v>57</v>
      </c>
      <c r="H352" s="24">
        <v>0</v>
      </c>
      <c r="I352" s="24">
        <v>0</v>
      </c>
      <c r="J352" s="24">
        <v>0</v>
      </c>
      <c r="K352" s="24">
        <v>0</v>
      </c>
      <c r="L352" s="24">
        <v>100</v>
      </c>
      <c r="M352" s="24">
        <v>18.079999999999998</v>
      </c>
      <c r="N352" s="24">
        <v>120</v>
      </c>
      <c r="O352" s="24">
        <f t="shared" si="66"/>
        <v>120</v>
      </c>
      <c r="P352" s="215">
        <f t="shared" si="67"/>
        <v>120</v>
      </c>
    </row>
    <row r="353" spans="1:16" ht="15" hidden="1" customHeight="1" outlineLevel="1" x14ac:dyDescent="0.25">
      <c r="A353" s="39" t="s">
        <v>11</v>
      </c>
      <c r="B353" s="46" t="s">
        <v>509</v>
      </c>
      <c r="C353" s="246"/>
      <c r="D353" s="47" t="s">
        <v>56</v>
      </c>
      <c r="E353" s="39" t="s">
        <v>17</v>
      </c>
      <c r="F353" s="39" t="s">
        <v>210</v>
      </c>
      <c r="G353" s="20" t="s">
        <v>190</v>
      </c>
      <c r="H353" s="24">
        <v>0</v>
      </c>
      <c r="I353" s="24">
        <v>0</v>
      </c>
      <c r="J353" s="24">
        <v>0</v>
      </c>
      <c r="K353" s="24">
        <v>0</v>
      </c>
      <c r="L353" s="24">
        <v>93.36</v>
      </c>
      <c r="M353" s="24">
        <v>13.36</v>
      </c>
      <c r="N353" s="24">
        <v>100</v>
      </c>
      <c r="O353" s="24">
        <f t="shared" si="66"/>
        <v>100</v>
      </c>
      <c r="P353" s="215">
        <f t="shared" si="67"/>
        <v>100</v>
      </c>
    </row>
    <row r="354" spans="1:16" ht="15" hidden="1" customHeight="1" outlineLevel="1" x14ac:dyDescent="0.25">
      <c r="A354" s="39" t="s">
        <v>11</v>
      </c>
      <c r="B354" s="46" t="s">
        <v>509</v>
      </c>
      <c r="C354" s="246"/>
      <c r="D354" s="47" t="s">
        <v>74</v>
      </c>
      <c r="E354" s="39" t="s">
        <v>213</v>
      </c>
      <c r="F354" s="39" t="s">
        <v>210</v>
      </c>
      <c r="G354" s="20" t="s">
        <v>216</v>
      </c>
      <c r="H354" s="24">
        <v>0</v>
      </c>
      <c r="I354" s="24">
        <v>0</v>
      </c>
      <c r="J354" s="24">
        <v>0</v>
      </c>
      <c r="K354" s="24">
        <v>30</v>
      </c>
      <c r="L354" s="24">
        <v>86.1</v>
      </c>
      <c r="M354" s="24">
        <v>56.1</v>
      </c>
      <c r="N354" s="24">
        <v>90</v>
      </c>
      <c r="O354" s="24">
        <f t="shared" si="66"/>
        <v>90</v>
      </c>
      <c r="P354" s="215">
        <f t="shared" si="67"/>
        <v>90</v>
      </c>
    </row>
    <row r="355" spans="1:16" ht="15" hidden="1" customHeight="1" outlineLevel="1" x14ac:dyDescent="0.25">
      <c r="A355" s="39"/>
      <c r="B355" s="46"/>
      <c r="C355" s="246"/>
      <c r="D355" s="47" t="s">
        <v>74</v>
      </c>
      <c r="E355" s="39" t="s">
        <v>217</v>
      </c>
      <c r="F355" s="39" t="s">
        <v>210</v>
      </c>
      <c r="G355" s="20" t="s">
        <v>216</v>
      </c>
      <c r="H355" s="24">
        <v>0</v>
      </c>
      <c r="I355" s="24">
        <v>0</v>
      </c>
      <c r="J355" s="24">
        <v>0</v>
      </c>
      <c r="K355" s="24">
        <v>10</v>
      </c>
      <c r="L355" s="24">
        <v>25.11</v>
      </c>
      <c r="M355" s="24">
        <v>9.41</v>
      </c>
      <c r="N355" s="24">
        <v>30</v>
      </c>
      <c r="O355" s="24">
        <f t="shared" si="66"/>
        <v>30</v>
      </c>
      <c r="P355" s="215">
        <f t="shared" si="67"/>
        <v>30</v>
      </c>
    </row>
    <row r="356" spans="1:16" collapsed="1" x14ac:dyDescent="0.25">
      <c r="A356" s="39" t="s">
        <v>11</v>
      </c>
      <c r="B356" s="46" t="s">
        <v>509</v>
      </c>
      <c r="C356" s="246"/>
      <c r="D356" s="47" t="s">
        <v>481</v>
      </c>
      <c r="E356" s="39"/>
      <c r="F356" s="39"/>
      <c r="G356" s="20" t="s">
        <v>567</v>
      </c>
      <c r="H356" s="24">
        <f>SUM(H351:H355)</f>
        <v>0</v>
      </c>
      <c r="I356" s="24">
        <f t="shared" ref="I356:O356" si="73">SUM(I351:I355)</f>
        <v>0</v>
      </c>
      <c r="J356" s="24">
        <f t="shared" si="73"/>
        <v>0</v>
      </c>
      <c r="K356" s="24">
        <f t="shared" si="73"/>
        <v>40</v>
      </c>
      <c r="L356" s="24">
        <f t="shared" si="73"/>
        <v>394.57000000000005</v>
      </c>
      <c r="M356" s="24">
        <f t="shared" si="73"/>
        <v>117.43</v>
      </c>
      <c r="N356" s="24">
        <f t="shared" si="73"/>
        <v>440</v>
      </c>
      <c r="O356" s="24">
        <f t="shared" si="73"/>
        <v>440</v>
      </c>
      <c r="P356" s="215">
        <v>0</v>
      </c>
    </row>
    <row r="357" spans="1:16" ht="15" hidden="1" customHeight="1" outlineLevel="1" x14ac:dyDescent="0.25">
      <c r="A357" s="39" t="s">
        <v>11</v>
      </c>
      <c r="B357" s="46" t="s">
        <v>509</v>
      </c>
      <c r="C357" s="246"/>
      <c r="D357" s="47" t="s">
        <v>88</v>
      </c>
      <c r="E357" s="39" t="s">
        <v>213</v>
      </c>
      <c r="F357" s="39" t="s">
        <v>210</v>
      </c>
      <c r="G357" s="20" t="s">
        <v>92</v>
      </c>
      <c r="H357" s="24">
        <v>0</v>
      </c>
      <c r="I357" s="24">
        <v>0</v>
      </c>
      <c r="J357" s="24">
        <v>0</v>
      </c>
      <c r="K357" s="24">
        <v>66</v>
      </c>
      <c r="L357" s="24">
        <v>48</v>
      </c>
      <c r="M357" s="24">
        <v>15.2</v>
      </c>
      <c r="N357" s="24">
        <v>50</v>
      </c>
      <c r="O357" s="24">
        <f t="shared" si="66"/>
        <v>50</v>
      </c>
      <c r="P357" s="215">
        <f t="shared" si="67"/>
        <v>50</v>
      </c>
    </row>
    <row r="358" spans="1:16" ht="15" hidden="1" customHeight="1" outlineLevel="1" x14ac:dyDescent="0.25">
      <c r="A358" s="39" t="s">
        <v>11</v>
      </c>
      <c r="B358" s="46" t="s">
        <v>509</v>
      </c>
      <c r="C358" s="246"/>
      <c r="D358" s="47" t="s">
        <v>88</v>
      </c>
      <c r="E358" s="39" t="s">
        <v>213</v>
      </c>
      <c r="F358" s="39" t="s">
        <v>210</v>
      </c>
      <c r="G358" s="20" t="s">
        <v>200</v>
      </c>
      <c r="H358" s="24">
        <v>0</v>
      </c>
      <c r="I358" s="24">
        <v>0</v>
      </c>
      <c r="J358" s="24">
        <v>0</v>
      </c>
      <c r="K358" s="24">
        <v>160</v>
      </c>
      <c r="L358" s="24">
        <v>38</v>
      </c>
      <c r="M358" s="24">
        <v>7.65</v>
      </c>
      <c r="N358" s="24">
        <v>50</v>
      </c>
      <c r="O358" s="24">
        <f t="shared" si="66"/>
        <v>50</v>
      </c>
      <c r="P358" s="215">
        <f t="shared" si="67"/>
        <v>50</v>
      </c>
    </row>
    <row r="359" spans="1:16" ht="15" hidden="1" customHeight="1" outlineLevel="1" x14ac:dyDescent="0.25">
      <c r="A359" s="39" t="s">
        <v>11</v>
      </c>
      <c r="B359" s="46" t="s">
        <v>509</v>
      </c>
      <c r="C359" s="246"/>
      <c r="D359" s="47" t="s">
        <v>103</v>
      </c>
      <c r="E359" s="39" t="s">
        <v>213</v>
      </c>
      <c r="F359" s="39" t="s">
        <v>210</v>
      </c>
      <c r="G359" s="20" t="s">
        <v>104</v>
      </c>
      <c r="H359" s="24">
        <v>0</v>
      </c>
      <c r="I359" s="24">
        <v>0</v>
      </c>
      <c r="J359" s="24">
        <v>0</v>
      </c>
      <c r="K359" s="24">
        <v>200</v>
      </c>
      <c r="L359" s="24">
        <v>150</v>
      </c>
      <c r="M359" s="24">
        <v>399.31</v>
      </c>
      <c r="N359" s="24">
        <v>150</v>
      </c>
      <c r="O359" s="24">
        <f t="shared" si="66"/>
        <v>150</v>
      </c>
      <c r="P359" s="215">
        <f t="shared" si="67"/>
        <v>150</v>
      </c>
    </row>
    <row r="360" spans="1:16" ht="15" hidden="1" customHeight="1" outlineLevel="1" x14ac:dyDescent="0.25">
      <c r="A360" s="39"/>
      <c r="B360" s="46"/>
      <c r="C360" s="246"/>
      <c r="D360" s="47" t="s">
        <v>103</v>
      </c>
      <c r="E360" s="39" t="s">
        <v>217</v>
      </c>
      <c r="F360" s="39" t="s">
        <v>210</v>
      </c>
      <c r="G360" s="20" t="s">
        <v>104</v>
      </c>
      <c r="H360" s="24">
        <v>0</v>
      </c>
      <c r="I360" s="24">
        <v>0</v>
      </c>
      <c r="J360" s="24">
        <v>0</v>
      </c>
      <c r="K360" s="24">
        <v>0</v>
      </c>
      <c r="L360" s="24">
        <v>150</v>
      </c>
      <c r="M360" s="24">
        <v>50.81</v>
      </c>
      <c r="N360" s="24">
        <v>150</v>
      </c>
      <c r="O360" s="24">
        <f t="shared" si="66"/>
        <v>150</v>
      </c>
      <c r="P360" s="215">
        <f t="shared" si="67"/>
        <v>150</v>
      </c>
    </row>
    <row r="361" spans="1:16" collapsed="1" x14ac:dyDescent="0.25">
      <c r="A361" s="39" t="s">
        <v>11</v>
      </c>
      <c r="B361" s="46" t="s">
        <v>509</v>
      </c>
      <c r="C361" s="246"/>
      <c r="D361" s="47" t="s">
        <v>470</v>
      </c>
      <c r="E361" s="39"/>
      <c r="F361" s="39"/>
      <c r="G361" s="20" t="s">
        <v>471</v>
      </c>
      <c r="H361" s="24">
        <f>SUM(H357:H360)</f>
        <v>0</v>
      </c>
      <c r="I361" s="24">
        <f t="shared" ref="I361:O361" si="74">SUM(I357:I360)</f>
        <v>0</v>
      </c>
      <c r="J361" s="24">
        <f t="shared" si="74"/>
        <v>0</v>
      </c>
      <c r="K361" s="24">
        <f t="shared" si="74"/>
        <v>426</v>
      </c>
      <c r="L361" s="24">
        <f t="shared" si="74"/>
        <v>386</v>
      </c>
      <c r="M361" s="24">
        <f t="shared" si="74"/>
        <v>472.97</v>
      </c>
      <c r="N361" s="24">
        <f t="shared" si="74"/>
        <v>400</v>
      </c>
      <c r="O361" s="24">
        <f t="shared" si="74"/>
        <v>400</v>
      </c>
      <c r="P361" s="215">
        <v>0</v>
      </c>
    </row>
    <row r="362" spans="1:16" ht="15" hidden="1" customHeight="1" outlineLevel="1" x14ac:dyDescent="0.25">
      <c r="A362" s="39" t="s">
        <v>11</v>
      </c>
      <c r="B362" s="46" t="s">
        <v>509</v>
      </c>
      <c r="C362" s="246"/>
      <c r="D362" s="47" t="s">
        <v>128</v>
      </c>
      <c r="E362" s="39" t="s">
        <v>213</v>
      </c>
      <c r="F362" s="39" t="s">
        <v>210</v>
      </c>
      <c r="G362" s="20" t="s">
        <v>130</v>
      </c>
      <c r="H362" s="24">
        <v>0</v>
      </c>
      <c r="I362" s="24">
        <v>0</v>
      </c>
      <c r="J362" s="24">
        <v>0</v>
      </c>
      <c r="K362" s="24">
        <v>10</v>
      </c>
      <c r="L362" s="24">
        <v>19.5</v>
      </c>
      <c r="M362" s="24">
        <v>5.0999999999999996</v>
      </c>
      <c r="N362" s="24">
        <v>20</v>
      </c>
      <c r="O362" s="24">
        <f t="shared" si="66"/>
        <v>20</v>
      </c>
      <c r="P362" s="215">
        <f t="shared" si="67"/>
        <v>20</v>
      </c>
    </row>
    <row r="363" spans="1:16" ht="15" hidden="1" customHeight="1" outlineLevel="1" x14ac:dyDescent="0.25">
      <c r="A363" s="39" t="s">
        <v>11</v>
      </c>
      <c r="B363" s="46" t="s">
        <v>509</v>
      </c>
      <c r="C363" s="246"/>
      <c r="D363" s="47" t="s">
        <v>137</v>
      </c>
      <c r="E363" s="39" t="s">
        <v>213</v>
      </c>
      <c r="F363" s="39" t="s">
        <v>210</v>
      </c>
      <c r="G363" s="20" t="s">
        <v>219</v>
      </c>
      <c r="H363" s="24">
        <v>0</v>
      </c>
      <c r="I363" s="24">
        <v>0</v>
      </c>
      <c r="J363" s="24">
        <v>0</v>
      </c>
      <c r="K363" s="24">
        <v>80</v>
      </c>
      <c r="L363" s="24">
        <v>0</v>
      </c>
      <c r="M363" s="24">
        <v>60</v>
      </c>
      <c r="N363" s="24">
        <v>0</v>
      </c>
      <c r="O363" s="24">
        <f t="shared" si="66"/>
        <v>0</v>
      </c>
      <c r="P363" s="215">
        <f t="shared" si="67"/>
        <v>0</v>
      </c>
    </row>
    <row r="364" spans="1:16" ht="15" hidden="1" customHeight="1" outlineLevel="1" x14ac:dyDescent="0.25">
      <c r="A364" s="39" t="s">
        <v>11</v>
      </c>
      <c r="B364" s="46" t="s">
        <v>509</v>
      </c>
      <c r="C364" s="246"/>
      <c r="D364" s="47" t="s">
        <v>151</v>
      </c>
      <c r="E364" s="39" t="s">
        <v>213</v>
      </c>
      <c r="F364" s="39" t="s">
        <v>210</v>
      </c>
      <c r="G364" s="20" t="s">
        <v>152</v>
      </c>
      <c r="H364" s="24">
        <v>0</v>
      </c>
      <c r="I364" s="24">
        <v>0</v>
      </c>
      <c r="J364" s="24">
        <v>0</v>
      </c>
      <c r="K364" s="24">
        <v>1000</v>
      </c>
      <c r="L364" s="24">
        <v>2000</v>
      </c>
      <c r="M364" s="24">
        <v>462.35</v>
      </c>
      <c r="N364" s="24">
        <v>2200</v>
      </c>
      <c r="O364" s="24">
        <f t="shared" si="66"/>
        <v>2200</v>
      </c>
      <c r="P364" s="215">
        <f t="shared" si="67"/>
        <v>2200</v>
      </c>
    </row>
    <row r="365" spans="1:16" ht="15" hidden="1" customHeight="1" outlineLevel="1" x14ac:dyDescent="0.25">
      <c r="A365" s="39" t="s">
        <v>11</v>
      </c>
      <c r="B365" s="46" t="s">
        <v>509</v>
      </c>
      <c r="C365" s="246"/>
      <c r="D365" s="47" t="s">
        <v>151</v>
      </c>
      <c r="E365" s="39" t="s">
        <v>217</v>
      </c>
      <c r="F365" s="39" t="s">
        <v>210</v>
      </c>
      <c r="G365" s="20" t="s">
        <v>152</v>
      </c>
      <c r="H365" s="24">
        <v>0</v>
      </c>
      <c r="I365" s="24">
        <v>0</v>
      </c>
      <c r="J365" s="24">
        <v>0</v>
      </c>
      <c r="K365" s="24">
        <v>260</v>
      </c>
      <c r="L365" s="24">
        <v>0</v>
      </c>
      <c r="M365" s="24">
        <v>81.599999999999994</v>
      </c>
      <c r="N365" s="24">
        <v>0</v>
      </c>
      <c r="O365" s="24">
        <f t="shared" si="66"/>
        <v>0</v>
      </c>
      <c r="P365" s="215">
        <f t="shared" si="67"/>
        <v>0</v>
      </c>
    </row>
    <row r="366" spans="1:16" ht="15" hidden="1" customHeight="1" outlineLevel="1" x14ac:dyDescent="0.25">
      <c r="A366" s="39"/>
      <c r="B366" s="46"/>
      <c r="C366" s="246"/>
      <c r="D366" s="47" t="s">
        <v>155</v>
      </c>
      <c r="E366" s="39" t="s">
        <v>213</v>
      </c>
      <c r="F366" s="39" t="s">
        <v>210</v>
      </c>
      <c r="G366" s="20" t="s">
        <v>156</v>
      </c>
      <c r="H366" s="24">
        <v>0</v>
      </c>
      <c r="I366" s="24">
        <v>0</v>
      </c>
      <c r="J366" s="24">
        <v>0</v>
      </c>
      <c r="K366" s="24">
        <v>190</v>
      </c>
      <c r="L366" s="24">
        <v>135.82999999999998</v>
      </c>
      <c r="M366" s="24">
        <v>70.63</v>
      </c>
      <c r="N366" s="24">
        <v>333</v>
      </c>
      <c r="O366" s="24">
        <f t="shared" si="66"/>
        <v>333</v>
      </c>
      <c r="P366" s="215">
        <f t="shared" si="67"/>
        <v>333</v>
      </c>
    </row>
    <row r="367" spans="1:16" ht="15.75" collapsed="1" thickBot="1" x14ac:dyDescent="0.3">
      <c r="A367" s="39"/>
      <c r="B367" s="46"/>
      <c r="C367" s="246"/>
      <c r="D367" s="59" t="s">
        <v>478</v>
      </c>
      <c r="E367" s="45"/>
      <c r="F367" s="45"/>
      <c r="G367" s="22" t="s">
        <v>479</v>
      </c>
      <c r="H367" s="29">
        <f>SUM(H362:H366)</f>
        <v>0</v>
      </c>
      <c r="I367" s="29">
        <f t="shared" ref="I367:O367" si="75">SUM(I362:I366)</f>
        <v>0</v>
      </c>
      <c r="J367" s="29">
        <f t="shared" si="75"/>
        <v>0</v>
      </c>
      <c r="K367" s="29">
        <f t="shared" si="75"/>
        <v>1540</v>
      </c>
      <c r="L367" s="29">
        <f t="shared" si="75"/>
        <v>2155.33</v>
      </c>
      <c r="M367" s="29">
        <f t="shared" si="75"/>
        <v>679.68000000000006</v>
      </c>
      <c r="N367" s="29">
        <f t="shared" si="75"/>
        <v>2553</v>
      </c>
      <c r="O367" s="29">
        <f t="shared" si="75"/>
        <v>2553</v>
      </c>
      <c r="P367" s="217">
        <v>0</v>
      </c>
    </row>
    <row r="368" spans="1:16" ht="15.75" thickBot="1" x14ac:dyDescent="0.3">
      <c r="A368" s="252" t="s">
        <v>556</v>
      </c>
      <c r="B368" s="252"/>
      <c r="C368" s="247"/>
      <c r="D368" s="60" t="s">
        <v>593</v>
      </c>
      <c r="E368" s="76"/>
      <c r="F368" s="76"/>
      <c r="G368" s="61" t="s">
        <v>621</v>
      </c>
      <c r="H368" s="62">
        <f>H367+H361+H356+H350+H348+H338</f>
        <v>0</v>
      </c>
      <c r="I368" s="62">
        <f t="shared" ref="I368:O368" si="76">I367+I361+I356+I350+I348+I338</f>
        <v>0</v>
      </c>
      <c r="J368" s="62">
        <f t="shared" si="76"/>
        <v>0</v>
      </c>
      <c r="K368" s="62">
        <f t="shared" si="76"/>
        <v>20576</v>
      </c>
      <c r="L368" s="62">
        <f t="shared" si="76"/>
        <v>22217.84</v>
      </c>
      <c r="M368" s="62">
        <f t="shared" si="76"/>
        <v>11750.130000000001</v>
      </c>
      <c r="N368" s="62">
        <f t="shared" si="76"/>
        <v>49412</v>
      </c>
      <c r="O368" s="62">
        <f t="shared" si="76"/>
        <v>49412</v>
      </c>
      <c r="P368" s="63">
        <v>0</v>
      </c>
    </row>
    <row r="369" spans="1:18" ht="15.75" thickBot="1" x14ac:dyDescent="0.3">
      <c r="A369" s="2" t="s">
        <v>11</v>
      </c>
      <c r="B369" s="12" t="s">
        <v>496</v>
      </c>
      <c r="C369" s="161" t="s">
        <v>622</v>
      </c>
      <c r="D369" s="162"/>
      <c r="E369" s="162"/>
      <c r="F369" s="162"/>
      <c r="G369" s="163" t="s">
        <v>623</v>
      </c>
      <c r="H369" s="164">
        <f>H390</f>
        <v>8615.52</v>
      </c>
      <c r="I369" s="164">
        <f t="shared" ref="I369:P369" si="77">I390</f>
        <v>13203.35</v>
      </c>
      <c r="J369" s="164">
        <f t="shared" si="77"/>
        <v>10000</v>
      </c>
      <c r="K369" s="164">
        <f t="shared" si="77"/>
        <v>10320.43</v>
      </c>
      <c r="L369" s="164">
        <f t="shared" si="77"/>
        <v>8181.7619999999997</v>
      </c>
      <c r="M369" s="164">
        <f t="shared" si="77"/>
        <v>6121.0199999999995</v>
      </c>
      <c r="N369" s="164">
        <f t="shared" si="77"/>
        <v>5000</v>
      </c>
      <c r="O369" s="164">
        <f t="shared" si="77"/>
        <v>5000</v>
      </c>
      <c r="P369" s="165">
        <f t="shared" si="77"/>
        <v>5000</v>
      </c>
      <c r="R369" s="78"/>
    </row>
    <row r="370" spans="1:18" ht="15" hidden="1" customHeight="1" outlineLevel="1" x14ac:dyDescent="0.25">
      <c r="A370" s="39"/>
      <c r="B370" s="46"/>
      <c r="C370" s="170"/>
      <c r="D370" s="47" t="s">
        <v>54</v>
      </c>
      <c r="E370" s="39" t="s">
        <v>17</v>
      </c>
      <c r="F370" s="39" t="s">
        <v>220</v>
      </c>
      <c r="G370" s="39" t="s">
        <v>221</v>
      </c>
      <c r="H370" s="42">
        <v>199.82</v>
      </c>
      <c r="I370" s="42">
        <v>7.2</v>
      </c>
      <c r="J370" s="42">
        <v>500</v>
      </c>
      <c r="K370" s="42">
        <v>500</v>
      </c>
      <c r="L370" s="42">
        <f>M370/10*12</f>
        <v>17.28</v>
      </c>
      <c r="M370" s="42">
        <v>14.4</v>
      </c>
      <c r="N370" s="42">
        <v>500</v>
      </c>
      <c r="O370" s="42">
        <f t="shared" ref="O370:O388" si="78">N370</f>
        <v>500</v>
      </c>
      <c r="P370" s="203">
        <f t="shared" ref="P370:P388" si="79">N370</f>
        <v>500</v>
      </c>
    </row>
    <row r="371" spans="1:18" ht="15.75" hidden="1" customHeight="1" outlineLevel="1" x14ac:dyDescent="0.25">
      <c r="A371" s="39" t="s">
        <v>11</v>
      </c>
      <c r="B371" s="46" t="s">
        <v>508</v>
      </c>
      <c r="C371" s="171"/>
      <c r="D371" s="47" t="s">
        <v>480</v>
      </c>
      <c r="E371" s="39"/>
      <c r="F371" s="39"/>
      <c r="G371" s="20" t="s">
        <v>55</v>
      </c>
      <c r="H371" s="24">
        <f>SUM(H370)</f>
        <v>199.82</v>
      </c>
      <c r="I371" s="24">
        <f t="shared" ref="I371:P371" si="80">SUM(I370)</f>
        <v>7.2</v>
      </c>
      <c r="J371" s="24">
        <f t="shared" si="80"/>
        <v>500</v>
      </c>
      <c r="K371" s="24">
        <f t="shared" si="80"/>
        <v>500</v>
      </c>
      <c r="L371" s="24">
        <f t="shared" si="80"/>
        <v>17.28</v>
      </c>
      <c r="M371" s="24">
        <f t="shared" si="80"/>
        <v>14.4</v>
      </c>
      <c r="N371" s="24">
        <f t="shared" si="80"/>
        <v>500</v>
      </c>
      <c r="O371" s="24">
        <f t="shared" si="80"/>
        <v>500</v>
      </c>
      <c r="P371" s="215">
        <f t="shared" si="80"/>
        <v>500</v>
      </c>
    </row>
    <row r="372" spans="1:18" ht="15" hidden="1" customHeight="1" outlineLevel="1" x14ac:dyDescent="0.25">
      <c r="A372" s="39"/>
      <c r="B372" s="46"/>
      <c r="C372" s="171"/>
      <c r="D372" s="47" t="s">
        <v>56</v>
      </c>
      <c r="E372" s="39" t="s">
        <v>17</v>
      </c>
      <c r="F372" s="39" t="s">
        <v>220</v>
      </c>
      <c r="G372" s="20" t="s">
        <v>197</v>
      </c>
      <c r="H372" s="24">
        <v>122.17</v>
      </c>
      <c r="I372" s="24">
        <v>194.13</v>
      </c>
      <c r="J372" s="24">
        <v>200</v>
      </c>
      <c r="K372" s="24">
        <v>200</v>
      </c>
      <c r="L372" s="24">
        <f>M372/10*12</f>
        <v>138.49200000000002</v>
      </c>
      <c r="M372" s="24">
        <v>115.41</v>
      </c>
      <c r="N372" s="24">
        <v>200</v>
      </c>
      <c r="O372" s="24">
        <f t="shared" si="78"/>
        <v>200</v>
      </c>
      <c r="P372" s="215">
        <f t="shared" si="79"/>
        <v>200</v>
      </c>
    </row>
    <row r="373" spans="1:18" ht="15.75" hidden="1" customHeight="1" outlineLevel="1" x14ac:dyDescent="0.25">
      <c r="A373" s="39" t="s">
        <v>11</v>
      </c>
      <c r="B373" s="46" t="s">
        <v>508</v>
      </c>
      <c r="C373" s="171"/>
      <c r="D373" s="47" t="s">
        <v>481</v>
      </c>
      <c r="E373" s="39"/>
      <c r="F373" s="39"/>
      <c r="G373" s="20" t="s">
        <v>567</v>
      </c>
      <c r="H373" s="24">
        <f>SUM(H372)</f>
        <v>122.17</v>
      </c>
      <c r="I373" s="24">
        <f t="shared" ref="I373:P373" si="81">SUM(I372)</f>
        <v>194.13</v>
      </c>
      <c r="J373" s="24">
        <f t="shared" si="81"/>
        <v>200</v>
      </c>
      <c r="K373" s="24">
        <f t="shared" si="81"/>
        <v>200</v>
      </c>
      <c r="L373" s="24">
        <f t="shared" si="81"/>
        <v>138.49200000000002</v>
      </c>
      <c r="M373" s="24">
        <f t="shared" si="81"/>
        <v>115.41</v>
      </c>
      <c r="N373" s="24">
        <f t="shared" si="81"/>
        <v>200</v>
      </c>
      <c r="O373" s="24">
        <f t="shared" si="81"/>
        <v>200</v>
      </c>
      <c r="P373" s="215">
        <f t="shared" si="81"/>
        <v>200</v>
      </c>
    </row>
    <row r="374" spans="1:18" ht="15" hidden="1" customHeight="1" outlineLevel="1" x14ac:dyDescent="0.25">
      <c r="A374" s="39" t="s">
        <v>11</v>
      </c>
      <c r="B374" s="46" t="s">
        <v>508</v>
      </c>
      <c r="C374" s="171"/>
      <c r="D374" s="47" t="s">
        <v>80</v>
      </c>
      <c r="E374" s="39" t="s">
        <v>17</v>
      </c>
      <c r="F374" s="39" t="s">
        <v>220</v>
      </c>
      <c r="G374" s="20" t="s">
        <v>81</v>
      </c>
      <c r="H374" s="24">
        <v>0</v>
      </c>
      <c r="I374" s="24">
        <v>1231.69</v>
      </c>
      <c r="J374" s="24">
        <v>0</v>
      </c>
      <c r="K374" s="24">
        <v>0</v>
      </c>
      <c r="L374" s="24">
        <f>M374/10*12</f>
        <v>0</v>
      </c>
      <c r="M374" s="24">
        <v>0</v>
      </c>
      <c r="N374" s="24">
        <v>0</v>
      </c>
      <c r="O374" s="24">
        <f t="shared" si="78"/>
        <v>0</v>
      </c>
      <c r="P374" s="215">
        <f t="shared" si="79"/>
        <v>0</v>
      </c>
    </row>
    <row r="375" spans="1:18" ht="15" hidden="1" customHeight="1" outlineLevel="1" x14ac:dyDescent="0.25">
      <c r="A375" s="39" t="s">
        <v>11</v>
      </c>
      <c r="B375" s="46" t="s">
        <v>508</v>
      </c>
      <c r="C375" s="171"/>
      <c r="D375" s="47" t="s">
        <v>84</v>
      </c>
      <c r="E375" s="39" t="s">
        <v>14</v>
      </c>
      <c r="F375" s="39" t="s">
        <v>220</v>
      </c>
      <c r="G375" s="20" t="s">
        <v>85</v>
      </c>
      <c r="H375" s="24">
        <v>0</v>
      </c>
      <c r="I375" s="24">
        <v>0</v>
      </c>
      <c r="J375" s="24">
        <v>0</v>
      </c>
      <c r="K375" s="24">
        <v>0</v>
      </c>
      <c r="L375" s="24">
        <v>2058.77</v>
      </c>
      <c r="M375" s="24">
        <v>2058.77</v>
      </c>
      <c r="N375" s="24">
        <v>0</v>
      </c>
      <c r="O375" s="24">
        <f t="shared" si="78"/>
        <v>0</v>
      </c>
      <c r="P375" s="215">
        <f t="shared" si="79"/>
        <v>0</v>
      </c>
    </row>
    <row r="376" spans="1:18" ht="15" hidden="1" customHeight="1" outlineLevel="1" x14ac:dyDescent="0.25">
      <c r="A376" s="39" t="s">
        <v>11</v>
      </c>
      <c r="B376" s="46" t="s">
        <v>508</v>
      </c>
      <c r="C376" s="171"/>
      <c r="D376" s="47" t="s">
        <v>84</v>
      </c>
      <c r="E376" s="39" t="s">
        <v>17</v>
      </c>
      <c r="F376" s="39" t="s">
        <v>220</v>
      </c>
      <c r="G376" s="20" t="s">
        <v>85</v>
      </c>
      <c r="H376" s="24">
        <v>476.79</v>
      </c>
      <c r="I376" s="24">
        <v>1214.8</v>
      </c>
      <c r="J376" s="24">
        <v>1500</v>
      </c>
      <c r="K376" s="24">
        <v>1500</v>
      </c>
      <c r="L376" s="24">
        <v>1500</v>
      </c>
      <c r="M376" s="24">
        <v>193.97</v>
      </c>
      <c r="N376" s="24">
        <v>500</v>
      </c>
      <c r="O376" s="24">
        <f t="shared" si="78"/>
        <v>500</v>
      </c>
      <c r="P376" s="215">
        <f t="shared" si="79"/>
        <v>500</v>
      </c>
    </row>
    <row r="377" spans="1:18" ht="15" hidden="1" customHeight="1" outlineLevel="1" x14ac:dyDescent="0.25">
      <c r="A377" s="39" t="s">
        <v>11</v>
      </c>
      <c r="B377" s="46" t="s">
        <v>508</v>
      </c>
      <c r="C377" s="171"/>
      <c r="D377" s="47" t="s">
        <v>88</v>
      </c>
      <c r="E377" s="39" t="s">
        <v>14</v>
      </c>
      <c r="F377" s="39" t="s">
        <v>220</v>
      </c>
      <c r="G377" s="20" t="s">
        <v>92</v>
      </c>
      <c r="H377" s="24">
        <v>1993</v>
      </c>
      <c r="I377" s="24">
        <v>3000</v>
      </c>
      <c r="J377" s="24">
        <v>0</v>
      </c>
      <c r="K377" s="24">
        <v>120.43</v>
      </c>
      <c r="L377" s="24">
        <v>1133.4000000000001</v>
      </c>
      <c r="M377" s="24">
        <v>1133.4000000000001</v>
      </c>
      <c r="N377" s="24">
        <v>0</v>
      </c>
      <c r="O377" s="24">
        <f t="shared" si="78"/>
        <v>0</v>
      </c>
      <c r="P377" s="215">
        <f t="shared" si="79"/>
        <v>0</v>
      </c>
    </row>
    <row r="378" spans="1:18" ht="15" hidden="1" customHeight="1" outlineLevel="1" x14ac:dyDescent="0.25">
      <c r="A378" s="39" t="s">
        <v>11</v>
      </c>
      <c r="B378" s="46" t="s">
        <v>508</v>
      </c>
      <c r="C378" s="171"/>
      <c r="D378" s="47" t="s">
        <v>88</v>
      </c>
      <c r="E378" s="39" t="s">
        <v>17</v>
      </c>
      <c r="F378" s="39" t="s">
        <v>220</v>
      </c>
      <c r="G378" s="20" t="s">
        <v>92</v>
      </c>
      <c r="H378" s="24">
        <v>2253.98</v>
      </c>
      <c r="I378" s="24">
        <v>2149.23</v>
      </c>
      <c r="J378" s="24">
        <v>1000</v>
      </c>
      <c r="K378" s="24">
        <v>1200</v>
      </c>
      <c r="L378" s="24">
        <v>1200</v>
      </c>
      <c r="M378" s="24">
        <v>1070.22</v>
      </c>
      <c r="N378" s="24">
        <v>1000</v>
      </c>
      <c r="O378" s="24">
        <f t="shared" si="78"/>
        <v>1000</v>
      </c>
      <c r="P378" s="215">
        <f t="shared" si="79"/>
        <v>1000</v>
      </c>
    </row>
    <row r="379" spans="1:18" ht="15" hidden="1" customHeight="1" outlineLevel="1" x14ac:dyDescent="0.25">
      <c r="A379" s="39" t="s">
        <v>11</v>
      </c>
      <c r="B379" s="46" t="s">
        <v>508</v>
      </c>
      <c r="C379" s="171"/>
      <c r="D379" s="47" t="s">
        <v>103</v>
      </c>
      <c r="E379" s="39" t="s">
        <v>14</v>
      </c>
      <c r="F379" s="39" t="s">
        <v>220</v>
      </c>
      <c r="G379" s="20" t="s">
        <v>104</v>
      </c>
      <c r="H379" s="24">
        <v>1007</v>
      </c>
      <c r="I379" s="24">
        <v>0</v>
      </c>
      <c r="J379" s="24">
        <v>0</v>
      </c>
      <c r="K379" s="24">
        <v>0</v>
      </c>
      <c r="L379" s="24">
        <f t="shared" ref="L379:L385" si="82">M379/10*12</f>
        <v>0</v>
      </c>
      <c r="M379" s="24">
        <v>0</v>
      </c>
      <c r="N379" s="24">
        <v>0</v>
      </c>
      <c r="O379" s="24">
        <f t="shared" si="78"/>
        <v>0</v>
      </c>
      <c r="P379" s="215">
        <f t="shared" si="79"/>
        <v>0</v>
      </c>
    </row>
    <row r="380" spans="1:18" ht="15" hidden="1" customHeight="1" outlineLevel="1" x14ac:dyDescent="0.25">
      <c r="A380" s="39"/>
      <c r="B380" s="46"/>
      <c r="C380" s="171"/>
      <c r="D380" s="47" t="s">
        <v>103</v>
      </c>
      <c r="E380" s="39" t="s">
        <v>17</v>
      </c>
      <c r="F380" s="39" t="s">
        <v>220</v>
      </c>
      <c r="G380" s="20" t="s">
        <v>104</v>
      </c>
      <c r="H380" s="24">
        <v>1110</v>
      </c>
      <c r="I380" s="24">
        <v>3267</v>
      </c>
      <c r="J380" s="24">
        <v>1000</v>
      </c>
      <c r="K380" s="24">
        <v>1000</v>
      </c>
      <c r="L380" s="24">
        <f t="shared" si="82"/>
        <v>0</v>
      </c>
      <c r="M380" s="24">
        <v>0</v>
      </c>
      <c r="N380" s="24">
        <v>0</v>
      </c>
      <c r="O380" s="24">
        <f t="shared" si="78"/>
        <v>0</v>
      </c>
      <c r="P380" s="215">
        <f t="shared" si="79"/>
        <v>0</v>
      </c>
    </row>
    <row r="381" spans="1:18" ht="15.75" hidden="1" customHeight="1" outlineLevel="1" x14ac:dyDescent="0.25">
      <c r="A381" s="39" t="s">
        <v>11</v>
      </c>
      <c r="B381" s="46" t="s">
        <v>508</v>
      </c>
      <c r="C381" s="171"/>
      <c r="D381" s="47" t="s">
        <v>470</v>
      </c>
      <c r="E381" s="39"/>
      <c r="F381" s="39"/>
      <c r="G381" s="20" t="s">
        <v>471</v>
      </c>
      <c r="H381" s="24">
        <f>SUM(H374:H380)</f>
        <v>6840.77</v>
      </c>
      <c r="I381" s="24">
        <f t="shared" ref="I381:P381" si="83">SUM(I374:I380)</f>
        <v>10862.72</v>
      </c>
      <c r="J381" s="24">
        <f t="shared" si="83"/>
        <v>3500</v>
      </c>
      <c r="K381" s="24">
        <f t="shared" si="83"/>
        <v>3820.4300000000003</v>
      </c>
      <c r="L381" s="24">
        <f t="shared" si="83"/>
        <v>5892.17</v>
      </c>
      <c r="M381" s="24">
        <f t="shared" si="83"/>
        <v>4456.3599999999997</v>
      </c>
      <c r="N381" s="24">
        <f t="shared" si="83"/>
        <v>1500</v>
      </c>
      <c r="O381" s="24">
        <f t="shared" si="83"/>
        <v>1500</v>
      </c>
      <c r="P381" s="215">
        <f t="shared" si="83"/>
        <v>1500</v>
      </c>
    </row>
    <row r="382" spans="1:18" ht="15" hidden="1" customHeight="1" outlineLevel="1" x14ac:dyDescent="0.25">
      <c r="A382" s="39" t="s">
        <v>11</v>
      </c>
      <c r="B382" s="46" t="s">
        <v>508</v>
      </c>
      <c r="C382" s="171"/>
      <c r="D382" s="47" t="s">
        <v>222</v>
      </c>
      <c r="E382" s="39" t="s">
        <v>14</v>
      </c>
      <c r="F382" s="39" t="s">
        <v>220</v>
      </c>
      <c r="G382" s="20" t="s">
        <v>223</v>
      </c>
      <c r="H382" s="24">
        <v>0</v>
      </c>
      <c r="I382" s="24">
        <v>0</v>
      </c>
      <c r="J382" s="24">
        <v>0</v>
      </c>
      <c r="K382" s="24">
        <v>530</v>
      </c>
      <c r="L382" s="24">
        <f t="shared" si="82"/>
        <v>384.51599999999996</v>
      </c>
      <c r="M382" s="24">
        <v>320.43</v>
      </c>
      <c r="N382" s="24">
        <v>450</v>
      </c>
      <c r="O382" s="24">
        <f t="shared" si="78"/>
        <v>450</v>
      </c>
      <c r="P382" s="215">
        <f t="shared" si="79"/>
        <v>450</v>
      </c>
    </row>
    <row r="383" spans="1:18" ht="15" hidden="1" customHeight="1" outlineLevel="1" x14ac:dyDescent="0.25">
      <c r="A383" s="39" t="s">
        <v>11</v>
      </c>
      <c r="B383" s="46" t="s">
        <v>508</v>
      </c>
      <c r="C383" s="171"/>
      <c r="D383" s="47" t="s">
        <v>222</v>
      </c>
      <c r="E383" s="39" t="s">
        <v>17</v>
      </c>
      <c r="F383" s="39" t="s">
        <v>220</v>
      </c>
      <c r="G383" s="20" t="s">
        <v>223</v>
      </c>
      <c r="H383" s="24">
        <v>930.24</v>
      </c>
      <c r="I383" s="24">
        <v>1331.44</v>
      </c>
      <c r="J383" s="24">
        <v>2000</v>
      </c>
      <c r="K383" s="24">
        <v>1670</v>
      </c>
      <c r="L383" s="24">
        <f t="shared" si="82"/>
        <v>758.97600000000011</v>
      </c>
      <c r="M383" s="24">
        <v>632.48</v>
      </c>
      <c r="N383" s="24">
        <v>1000</v>
      </c>
      <c r="O383" s="24">
        <f t="shared" si="78"/>
        <v>1000</v>
      </c>
      <c r="P383" s="215">
        <f t="shared" si="79"/>
        <v>1000</v>
      </c>
    </row>
    <row r="384" spans="1:18" ht="15" hidden="1" customHeight="1" outlineLevel="1" x14ac:dyDescent="0.25">
      <c r="A384" s="39" t="s">
        <v>11</v>
      </c>
      <c r="B384" s="46" t="s">
        <v>508</v>
      </c>
      <c r="C384" s="171"/>
      <c r="D384" s="47" t="s">
        <v>224</v>
      </c>
      <c r="E384" s="39" t="s">
        <v>17</v>
      </c>
      <c r="F384" s="39" t="s">
        <v>220</v>
      </c>
      <c r="G384" s="20" t="s">
        <v>225</v>
      </c>
      <c r="H384" s="24">
        <v>80</v>
      </c>
      <c r="I384" s="24">
        <v>273.26</v>
      </c>
      <c r="J384" s="24">
        <v>1900</v>
      </c>
      <c r="K384" s="24">
        <v>1700</v>
      </c>
      <c r="L384" s="24">
        <f t="shared" si="82"/>
        <v>172.36799999999999</v>
      </c>
      <c r="M384" s="24">
        <v>143.63999999999999</v>
      </c>
      <c r="N384" s="24">
        <v>500</v>
      </c>
      <c r="O384" s="24">
        <f t="shared" si="78"/>
        <v>500</v>
      </c>
      <c r="P384" s="215">
        <f t="shared" si="79"/>
        <v>500</v>
      </c>
    </row>
    <row r="385" spans="1:16" ht="15" hidden="1" customHeight="1" outlineLevel="1" x14ac:dyDescent="0.25">
      <c r="A385" s="39"/>
      <c r="B385" s="46"/>
      <c r="C385" s="171"/>
      <c r="D385" s="47" t="s">
        <v>226</v>
      </c>
      <c r="E385" s="39" t="s">
        <v>17</v>
      </c>
      <c r="F385" s="39" t="s">
        <v>220</v>
      </c>
      <c r="G385" s="20" t="s">
        <v>227</v>
      </c>
      <c r="H385" s="24">
        <v>83.52</v>
      </c>
      <c r="I385" s="24">
        <v>434.6</v>
      </c>
      <c r="J385" s="24">
        <v>500</v>
      </c>
      <c r="K385" s="24">
        <v>500</v>
      </c>
      <c r="L385" s="24">
        <f t="shared" si="82"/>
        <v>417.96</v>
      </c>
      <c r="M385" s="24">
        <v>348.3</v>
      </c>
      <c r="N385" s="24">
        <v>500</v>
      </c>
      <c r="O385" s="24">
        <f t="shared" si="78"/>
        <v>500</v>
      </c>
      <c r="P385" s="215">
        <f t="shared" si="79"/>
        <v>500</v>
      </c>
    </row>
    <row r="386" spans="1:16" ht="15.75" hidden="1" customHeight="1" outlineLevel="1" x14ac:dyDescent="0.25">
      <c r="A386" s="39" t="s">
        <v>11</v>
      </c>
      <c r="B386" s="46" t="s">
        <v>508</v>
      </c>
      <c r="C386" s="171"/>
      <c r="D386" s="47" t="s">
        <v>590</v>
      </c>
      <c r="E386" s="39"/>
      <c r="F386" s="39"/>
      <c r="G386" s="20" t="s">
        <v>254</v>
      </c>
      <c r="H386" s="24">
        <f>SUM(H382:H385)</f>
        <v>1093.76</v>
      </c>
      <c r="I386" s="24">
        <f t="shared" ref="I386:P386" si="84">SUM(I382:I385)</f>
        <v>2039.3000000000002</v>
      </c>
      <c r="J386" s="24">
        <f t="shared" si="84"/>
        <v>4400</v>
      </c>
      <c r="K386" s="24">
        <f t="shared" si="84"/>
        <v>4400</v>
      </c>
      <c r="L386" s="24">
        <f t="shared" si="84"/>
        <v>1733.8200000000002</v>
      </c>
      <c r="M386" s="24">
        <f t="shared" si="84"/>
        <v>1444.8500000000001</v>
      </c>
      <c r="N386" s="24">
        <f t="shared" si="84"/>
        <v>2450</v>
      </c>
      <c r="O386" s="24">
        <f t="shared" si="84"/>
        <v>2450</v>
      </c>
      <c r="P386" s="215">
        <f t="shared" si="84"/>
        <v>2450</v>
      </c>
    </row>
    <row r="387" spans="1:16" ht="17.25" hidden="1" customHeight="1" outlineLevel="1" x14ac:dyDescent="0.25">
      <c r="A387" s="39" t="s">
        <v>11</v>
      </c>
      <c r="B387" s="46" t="s">
        <v>508</v>
      </c>
      <c r="C387" s="171"/>
      <c r="D387" s="47" t="s">
        <v>128</v>
      </c>
      <c r="E387" s="39" t="s">
        <v>17</v>
      </c>
      <c r="F387" s="39" t="s">
        <v>220</v>
      </c>
      <c r="G387" s="20" t="s">
        <v>130</v>
      </c>
      <c r="H387" s="24">
        <v>320</v>
      </c>
      <c r="I387" s="24">
        <v>40</v>
      </c>
      <c r="J387" s="24">
        <v>700</v>
      </c>
      <c r="K387" s="24">
        <v>700</v>
      </c>
      <c r="L387" s="24">
        <v>400</v>
      </c>
      <c r="M387" s="24">
        <v>90</v>
      </c>
      <c r="N387" s="24">
        <v>350</v>
      </c>
      <c r="O387" s="24">
        <f t="shared" si="78"/>
        <v>350</v>
      </c>
      <c r="P387" s="215">
        <f t="shared" si="79"/>
        <v>350</v>
      </c>
    </row>
    <row r="388" spans="1:16" ht="15" hidden="1" customHeight="1" outlineLevel="1" x14ac:dyDescent="0.25">
      <c r="A388" s="39"/>
      <c r="B388" s="46"/>
      <c r="C388" s="171"/>
      <c r="D388" s="47" t="s">
        <v>137</v>
      </c>
      <c r="E388" s="39" t="s">
        <v>17</v>
      </c>
      <c r="F388" s="39" t="s">
        <v>220</v>
      </c>
      <c r="G388" s="20" t="s">
        <v>228</v>
      </c>
      <c r="H388" s="24">
        <v>39</v>
      </c>
      <c r="I388" s="24">
        <v>60</v>
      </c>
      <c r="J388" s="24">
        <v>700</v>
      </c>
      <c r="K388" s="24">
        <v>700</v>
      </c>
      <c r="L388" s="24">
        <f>M388/10*12</f>
        <v>0</v>
      </c>
      <c r="M388" s="24">
        <v>0</v>
      </c>
      <c r="N388" s="24">
        <v>0</v>
      </c>
      <c r="O388" s="24">
        <f t="shared" si="78"/>
        <v>0</v>
      </c>
      <c r="P388" s="215">
        <f t="shared" si="79"/>
        <v>0</v>
      </c>
    </row>
    <row r="389" spans="1:16" ht="15.75" hidden="1" customHeight="1" outlineLevel="1" thickBot="1" x14ac:dyDescent="0.3">
      <c r="A389" s="39"/>
      <c r="B389" s="46"/>
      <c r="C389" s="171"/>
      <c r="D389" s="59" t="s">
        <v>478</v>
      </c>
      <c r="E389" s="45"/>
      <c r="F389" s="45"/>
      <c r="G389" s="22" t="s">
        <v>479</v>
      </c>
      <c r="H389" s="29">
        <f>SUM(H387:H388)</f>
        <v>359</v>
      </c>
      <c r="I389" s="29">
        <f t="shared" ref="I389:P389" si="85">SUM(I387:I388)</f>
        <v>100</v>
      </c>
      <c r="J389" s="29">
        <f t="shared" si="85"/>
        <v>1400</v>
      </c>
      <c r="K389" s="29">
        <f t="shared" si="85"/>
        <v>1400</v>
      </c>
      <c r="L389" s="29">
        <f t="shared" si="85"/>
        <v>400</v>
      </c>
      <c r="M389" s="29">
        <f t="shared" si="85"/>
        <v>90</v>
      </c>
      <c r="N389" s="29">
        <f t="shared" si="85"/>
        <v>350</v>
      </c>
      <c r="O389" s="29">
        <f t="shared" si="85"/>
        <v>350</v>
      </c>
      <c r="P389" s="217">
        <f t="shared" si="85"/>
        <v>350</v>
      </c>
    </row>
    <row r="390" spans="1:16" ht="15.75" collapsed="1" thickBot="1" x14ac:dyDescent="0.3">
      <c r="A390" s="7" t="s">
        <v>11</v>
      </c>
      <c r="B390" s="77" t="s">
        <v>508</v>
      </c>
      <c r="C390" s="171"/>
      <c r="D390" s="60" t="s">
        <v>593</v>
      </c>
      <c r="E390" s="76"/>
      <c r="F390" s="76"/>
      <c r="G390" s="61" t="s">
        <v>633</v>
      </c>
      <c r="H390" s="62">
        <f>H389+H386+H381+H373+H371</f>
        <v>8615.52</v>
      </c>
      <c r="I390" s="62">
        <f t="shared" ref="I390:P390" si="86">I389+I386+I381+I373+I371</f>
        <v>13203.35</v>
      </c>
      <c r="J390" s="62">
        <f t="shared" si="86"/>
        <v>10000</v>
      </c>
      <c r="K390" s="62">
        <f t="shared" si="86"/>
        <v>10320.43</v>
      </c>
      <c r="L390" s="62">
        <f t="shared" si="86"/>
        <v>8181.7619999999997</v>
      </c>
      <c r="M390" s="62">
        <f t="shared" si="86"/>
        <v>6121.0199999999995</v>
      </c>
      <c r="N390" s="62">
        <f t="shared" si="86"/>
        <v>5000</v>
      </c>
      <c r="O390" s="62">
        <f t="shared" si="86"/>
        <v>5000</v>
      </c>
      <c r="P390" s="63">
        <f t="shared" si="86"/>
        <v>5000</v>
      </c>
    </row>
    <row r="391" spans="1:16" ht="15.75" thickBot="1" x14ac:dyDescent="0.3">
      <c r="A391" s="1" t="s">
        <v>11</v>
      </c>
      <c r="B391" s="13" t="s">
        <v>506</v>
      </c>
      <c r="C391" s="161" t="s">
        <v>624</v>
      </c>
      <c r="D391" s="162"/>
      <c r="E391" s="162"/>
      <c r="F391" s="162"/>
      <c r="G391" s="163" t="s">
        <v>745</v>
      </c>
      <c r="H391" s="164">
        <f>H400</f>
        <v>8063.6799999999994</v>
      </c>
      <c r="I391" s="164">
        <f t="shared" ref="I391:P391" si="87">I400</f>
        <v>8763</v>
      </c>
      <c r="J391" s="164">
        <f t="shared" si="87"/>
        <v>9230</v>
      </c>
      <c r="K391" s="164">
        <f t="shared" si="87"/>
        <v>9230</v>
      </c>
      <c r="L391" s="164">
        <f t="shared" si="87"/>
        <v>8581.6374545454528</v>
      </c>
      <c r="M391" s="164">
        <f t="shared" si="87"/>
        <v>7757.34</v>
      </c>
      <c r="N391" s="164">
        <f t="shared" si="87"/>
        <v>9500</v>
      </c>
      <c r="O391" s="164">
        <f t="shared" si="87"/>
        <v>9500</v>
      </c>
      <c r="P391" s="165">
        <f t="shared" si="87"/>
        <v>9500</v>
      </c>
    </row>
    <row r="392" spans="1:16" hidden="1" outlineLevel="1" x14ac:dyDescent="0.25">
      <c r="A392" s="39" t="s">
        <v>11</v>
      </c>
      <c r="B392" s="46" t="s">
        <v>506</v>
      </c>
      <c r="C392" s="200" t="s">
        <v>229</v>
      </c>
      <c r="D392" s="40" t="s">
        <v>56</v>
      </c>
      <c r="E392" s="40" t="s">
        <v>17</v>
      </c>
      <c r="F392" s="40" t="s">
        <v>230</v>
      </c>
      <c r="G392" s="40" t="s">
        <v>231</v>
      </c>
      <c r="H392" s="41">
        <v>0</v>
      </c>
      <c r="I392" s="41">
        <v>589.88</v>
      </c>
      <c r="J392" s="41">
        <v>600</v>
      </c>
      <c r="K392" s="41">
        <v>300</v>
      </c>
      <c r="L392" s="41">
        <v>0</v>
      </c>
      <c r="M392" s="41">
        <v>-25.82</v>
      </c>
      <c r="N392" s="41">
        <v>0</v>
      </c>
      <c r="O392" s="41">
        <f t="shared" ref="O392:O399" si="88">N392</f>
        <v>0</v>
      </c>
      <c r="P392" s="201">
        <f t="shared" ref="P392:P399" si="89">N392</f>
        <v>0</v>
      </c>
    </row>
    <row r="393" spans="1:16" hidden="1" outlineLevel="1" x14ac:dyDescent="0.25">
      <c r="A393" s="39" t="s">
        <v>11</v>
      </c>
      <c r="B393" s="46" t="s">
        <v>506</v>
      </c>
      <c r="C393" s="202" t="s">
        <v>229</v>
      </c>
      <c r="D393" s="39" t="s">
        <v>56</v>
      </c>
      <c r="E393" s="39" t="s">
        <v>17</v>
      </c>
      <c r="F393" s="39" t="s">
        <v>230</v>
      </c>
      <c r="G393" s="39" t="s">
        <v>232</v>
      </c>
      <c r="H393" s="42">
        <v>6527.18</v>
      </c>
      <c r="I393" s="42">
        <v>5979.5</v>
      </c>
      <c r="J393" s="42">
        <v>6000</v>
      </c>
      <c r="K393" s="42">
        <v>6300</v>
      </c>
      <c r="L393" s="42">
        <f>M393/11*12</f>
        <v>7581.545454545454</v>
      </c>
      <c r="M393" s="42">
        <v>6949.75</v>
      </c>
      <c r="N393" s="42">
        <v>8000</v>
      </c>
      <c r="O393" s="42">
        <f t="shared" si="88"/>
        <v>8000</v>
      </c>
      <c r="P393" s="203">
        <f t="shared" si="89"/>
        <v>8000</v>
      </c>
    </row>
    <row r="394" spans="1:16" hidden="1" outlineLevel="1" x14ac:dyDescent="0.25">
      <c r="A394" s="39" t="s">
        <v>11</v>
      </c>
      <c r="B394" s="46" t="s">
        <v>506</v>
      </c>
      <c r="C394" s="202" t="s">
        <v>229</v>
      </c>
      <c r="D394" s="39" t="s">
        <v>56</v>
      </c>
      <c r="E394" s="39" t="s">
        <v>17</v>
      </c>
      <c r="F394" s="39" t="s">
        <v>230</v>
      </c>
      <c r="G394" s="39" t="s">
        <v>233</v>
      </c>
      <c r="H394" s="42">
        <v>45.86</v>
      </c>
      <c r="I394" s="42">
        <v>51.16</v>
      </c>
      <c r="J394" s="42">
        <v>50</v>
      </c>
      <c r="K394" s="42">
        <v>50</v>
      </c>
      <c r="L394" s="42">
        <f t="shared" ref="L394:L399" si="90">M394/10*12</f>
        <v>40.896000000000001</v>
      </c>
      <c r="M394" s="42">
        <v>34.08</v>
      </c>
      <c r="N394" s="42">
        <v>50</v>
      </c>
      <c r="O394" s="42">
        <f t="shared" si="88"/>
        <v>50</v>
      </c>
      <c r="P394" s="203">
        <f t="shared" si="89"/>
        <v>50</v>
      </c>
    </row>
    <row r="395" spans="1:16" hidden="1" outlineLevel="1" x14ac:dyDescent="0.25">
      <c r="A395" s="39" t="s">
        <v>11</v>
      </c>
      <c r="B395" s="46" t="s">
        <v>506</v>
      </c>
      <c r="C395" s="202" t="s">
        <v>229</v>
      </c>
      <c r="D395" s="39" t="s">
        <v>65</v>
      </c>
      <c r="E395" s="39" t="s">
        <v>17</v>
      </c>
      <c r="F395" s="39" t="s">
        <v>230</v>
      </c>
      <c r="G395" s="39" t="s">
        <v>234</v>
      </c>
      <c r="H395" s="42">
        <v>827.75</v>
      </c>
      <c r="I395" s="42">
        <v>847.65</v>
      </c>
      <c r="J395" s="42">
        <v>850</v>
      </c>
      <c r="K395" s="42">
        <v>850</v>
      </c>
      <c r="L395" s="42">
        <f t="shared" si="90"/>
        <v>745.02</v>
      </c>
      <c r="M395" s="42">
        <v>620.85</v>
      </c>
      <c r="N395" s="42">
        <v>800</v>
      </c>
      <c r="O395" s="42">
        <f t="shared" si="88"/>
        <v>800</v>
      </c>
      <c r="P395" s="203">
        <f t="shared" si="89"/>
        <v>800</v>
      </c>
    </row>
    <row r="396" spans="1:16" hidden="1" outlineLevel="1" x14ac:dyDescent="0.25">
      <c r="A396" s="39" t="s">
        <v>11</v>
      </c>
      <c r="B396" s="46" t="s">
        <v>506</v>
      </c>
      <c r="C396" s="202" t="s">
        <v>229</v>
      </c>
      <c r="D396" s="39" t="s">
        <v>114</v>
      </c>
      <c r="E396" s="39" t="s">
        <v>17</v>
      </c>
      <c r="F396" s="39" t="s">
        <v>230</v>
      </c>
      <c r="G396" s="39" t="s">
        <v>115</v>
      </c>
      <c r="H396" s="42">
        <v>0</v>
      </c>
      <c r="I396" s="42">
        <v>243.2</v>
      </c>
      <c r="J396" s="42">
        <v>250</v>
      </c>
      <c r="K396" s="42">
        <v>250</v>
      </c>
      <c r="L396" s="42">
        <f t="shared" si="90"/>
        <v>0</v>
      </c>
      <c r="M396" s="42">
        <v>0</v>
      </c>
      <c r="N396" s="42">
        <v>250</v>
      </c>
      <c r="O396" s="42">
        <f t="shared" si="88"/>
        <v>250</v>
      </c>
      <c r="P396" s="203">
        <f t="shared" si="89"/>
        <v>250</v>
      </c>
    </row>
    <row r="397" spans="1:16" hidden="1" outlineLevel="1" x14ac:dyDescent="0.25">
      <c r="A397" s="39" t="s">
        <v>11</v>
      </c>
      <c r="B397" s="46" t="s">
        <v>506</v>
      </c>
      <c r="C397" s="202" t="s">
        <v>229</v>
      </c>
      <c r="D397" s="39" t="s">
        <v>116</v>
      </c>
      <c r="E397" s="39" t="s">
        <v>17</v>
      </c>
      <c r="F397" s="39" t="s">
        <v>230</v>
      </c>
      <c r="G397" s="39" t="s">
        <v>235</v>
      </c>
      <c r="H397" s="42">
        <f>19.87+319.9</f>
        <v>339.77</v>
      </c>
      <c r="I397" s="42">
        <v>0</v>
      </c>
      <c r="J397" s="42">
        <v>750</v>
      </c>
      <c r="K397" s="42">
        <v>750</v>
      </c>
      <c r="L397" s="42">
        <f t="shared" si="90"/>
        <v>38.64</v>
      </c>
      <c r="M397" s="42">
        <v>32.200000000000003</v>
      </c>
      <c r="N397" s="42">
        <v>100</v>
      </c>
      <c r="O397" s="42">
        <f t="shared" si="88"/>
        <v>100</v>
      </c>
      <c r="P397" s="203">
        <f t="shared" si="89"/>
        <v>100</v>
      </c>
    </row>
    <row r="398" spans="1:16" hidden="1" outlineLevel="1" x14ac:dyDescent="0.25">
      <c r="A398" s="39" t="s">
        <v>11</v>
      </c>
      <c r="B398" s="46" t="s">
        <v>506</v>
      </c>
      <c r="C398" s="202" t="s">
        <v>229</v>
      </c>
      <c r="D398" s="39" t="s">
        <v>121</v>
      </c>
      <c r="E398" s="39" t="s">
        <v>17</v>
      </c>
      <c r="F398" s="39" t="s">
        <v>230</v>
      </c>
      <c r="G398" s="39" t="s">
        <v>123</v>
      </c>
      <c r="H398" s="42">
        <v>0</v>
      </c>
      <c r="I398" s="42">
        <v>252.07</v>
      </c>
      <c r="J398" s="42">
        <v>0</v>
      </c>
      <c r="K398" s="42">
        <v>0</v>
      </c>
      <c r="L398" s="42">
        <f t="shared" si="90"/>
        <v>0</v>
      </c>
      <c r="M398" s="42">
        <v>0</v>
      </c>
      <c r="N398" s="42">
        <v>0</v>
      </c>
      <c r="O398" s="42">
        <f t="shared" si="88"/>
        <v>0</v>
      </c>
      <c r="P398" s="203">
        <f t="shared" si="89"/>
        <v>0</v>
      </c>
    </row>
    <row r="399" spans="1:16" ht="15.75" hidden="1" outlineLevel="1" thickBot="1" x14ac:dyDescent="0.3">
      <c r="A399" s="39"/>
      <c r="B399" s="46"/>
      <c r="C399" s="204" t="s">
        <v>229</v>
      </c>
      <c r="D399" s="45" t="s">
        <v>135</v>
      </c>
      <c r="E399" s="45" t="s">
        <v>17</v>
      </c>
      <c r="F399" s="45" t="s">
        <v>230</v>
      </c>
      <c r="G399" s="45" t="s">
        <v>136</v>
      </c>
      <c r="H399" s="64">
        <v>323.12</v>
      </c>
      <c r="I399" s="64">
        <v>799.54</v>
      </c>
      <c r="J399" s="64">
        <v>730</v>
      </c>
      <c r="K399" s="64">
        <v>730</v>
      </c>
      <c r="L399" s="64">
        <f t="shared" si="90"/>
        <v>175.536</v>
      </c>
      <c r="M399" s="64">
        <v>146.28</v>
      </c>
      <c r="N399" s="64">
        <v>300</v>
      </c>
      <c r="O399" s="64">
        <f t="shared" si="88"/>
        <v>300</v>
      </c>
      <c r="P399" s="205">
        <f t="shared" si="89"/>
        <v>300</v>
      </c>
    </row>
    <row r="400" spans="1:16" ht="15.75" hidden="1" outlineLevel="1" thickBot="1" x14ac:dyDescent="0.3">
      <c r="A400" s="250" t="s">
        <v>557</v>
      </c>
      <c r="B400" s="250"/>
      <c r="C400" s="80"/>
      <c r="D400" s="60" t="s">
        <v>593</v>
      </c>
      <c r="E400" s="76"/>
      <c r="F400" s="76"/>
      <c r="G400" s="61" t="s">
        <v>558</v>
      </c>
      <c r="H400" s="62">
        <f>SUM(H392:H399)</f>
        <v>8063.6799999999994</v>
      </c>
      <c r="I400" s="62">
        <f t="shared" ref="I400:P400" si="91">SUM(I392:I399)</f>
        <v>8763</v>
      </c>
      <c r="J400" s="62">
        <f t="shared" si="91"/>
        <v>9230</v>
      </c>
      <c r="K400" s="62">
        <f t="shared" si="91"/>
        <v>9230</v>
      </c>
      <c r="L400" s="62">
        <f t="shared" si="91"/>
        <v>8581.6374545454528</v>
      </c>
      <c r="M400" s="62">
        <f t="shared" si="91"/>
        <v>7757.34</v>
      </c>
      <c r="N400" s="62">
        <f t="shared" si="91"/>
        <v>9500</v>
      </c>
      <c r="O400" s="62">
        <f t="shared" si="91"/>
        <v>9500</v>
      </c>
      <c r="P400" s="63">
        <f t="shared" si="91"/>
        <v>9500</v>
      </c>
    </row>
    <row r="401" spans="1:16" ht="15.75" collapsed="1" thickBot="1" x14ac:dyDescent="0.3">
      <c r="A401" s="1" t="s">
        <v>11</v>
      </c>
      <c r="B401" s="13" t="s">
        <v>547</v>
      </c>
      <c r="C401" s="161" t="s">
        <v>625</v>
      </c>
      <c r="D401" s="162"/>
      <c r="E401" s="162"/>
      <c r="F401" s="162"/>
      <c r="G401" s="163" t="s">
        <v>626</v>
      </c>
      <c r="H401" s="164">
        <f>H414+H436+H493</f>
        <v>43116.24</v>
      </c>
      <c r="I401" s="164">
        <f t="shared" ref="I401:P401" si="92">I414+I436+I493</f>
        <v>42146.49</v>
      </c>
      <c r="J401" s="164">
        <f t="shared" si="92"/>
        <v>47742</v>
      </c>
      <c r="K401" s="164">
        <f t="shared" si="92"/>
        <v>47742</v>
      </c>
      <c r="L401" s="164">
        <f t="shared" si="92"/>
        <v>27693.696000000004</v>
      </c>
      <c r="M401" s="164">
        <f t="shared" si="92"/>
        <v>25815.950000000004</v>
      </c>
      <c r="N401" s="164">
        <f t="shared" si="92"/>
        <v>12407</v>
      </c>
      <c r="O401" s="164">
        <f t="shared" si="92"/>
        <v>12407</v>
      </c>
      <c r="P401" s="165">
        <f t="shared" si="92"/>
        <v>12407</v>
      </c>
    </row>
    <row r="402" spans="1:16" hidden="1" outlineLevel="1" x14ac:dyDescent="0.25">
      <c r="A402" s="39" t="s">
        <v>11</v>
      </c>
      <c r="B402" s="46" t="s">
        <v>547</v>
      </c>
      <c r="C402" s="200" t="s">
        <v>236</v>
      </c>
      <c r="D402" s="40" t="s">
        <v>13</v>
      </c>
      <c r="E402" s="40" t="s">
        <v>17</v>
      </c>
      <c r="F402" s="40" t="s">
        <v>239</v>
      </c>
      <c r="G402" s="40" t="s">
        <v>19</v>
      </c>
      <c r="H402" s="41">
        <v>0</v>
      </c>
      <c r="I402" s="41">
        <v>0</v>
      </c>
      <c r="J402" s="41">
        <v>15600</v>
      </c>
      <c r="K402" s="41">
        <v>15600</v>
      </c>
      <c r="L402" s="41">
        <f t="shared" ref="L402:L413" si="93">M402</f>
        <v>12063.69</v>
      </c>
      <c r="M402" s="41">
        <v>12063.69</v>
      </c>
      <c r="N402" s="41">
        <v>0</v>
      </c>
      <c r="O402" s="41">
        <f t="shared" ref="O402:O461" si="94">N402</f>
        <v>0</v>
      </c>
      <c r="P402" s="201">
        <f t="shared" ref="P402:P461" si="95">N402</f>
        <v>0</v>
      </c>
    </row>
    <row r="403" spans="1:16" hidden="1" outlineLevel="1" x14ac:dyDescent="0.25">
      <c r="A403" s="39" t="s">
        <v>11</v>
      </c>
      <c r="B403" s="46" t="s">
        <v>547</v>
      </c>
      <c r="C403" s="202" t="s">
        <v>236</v>
      </c>
      <c r="D403" s="39" t="s">
        <v>22</v>
      </c>
      <c r="E403" s="39" t="s">
        <v>17</v>
      </c>
      <c r="F403" s="39" t="s">
        <v>239</v>
      </c>
      <c r="G403" s="39" t="s">
        <v>242</v>
      </c>
      <c r="H403" s="42">
        <v>676.56</v>
      </c>
      <c r="I403" s="42">
        <v>689.82</v>
      </c>
      <c r="J403" s="42">
        <v>700</v>
      </c>
      <c r="K403" s="42">
        <v>700</v>
      </c>
      <c r="L403" s="42">
        <f t="shared" si="93"/>
        <v>611.09</v>
      </c>
      <c r="M403" s="42">
        <v>611.09</v>
      </c>
      <c r="N403" s="42">
        <v>0</v>
      </c>
      <c r="O403" s="42">
        <f t="shared" si="94"/>
        <v>0</v>
      </c>
      <c r="P403" s="203">
        <f t="shared" si="95"/>
        <v>0</v>
      </c>
    </row>
    <row r="404" spans="1:16" hidden="1" outlineLevel="1" x14ac:dyDescent="0.25">
      <c r="A404" s="39" t="s">
        <v>11</v>
      </c>
      <c r="B404" s="46" t="s">
        <v>547</v>
      </c>
      <c r="C404" s="202" t="s">
        <v>236</v>
      </c>
      <c r="D404" s="39" t="s">
        <v>26</v>
      </c>
      <c r="E404" s="39" t="s">
        <v>17</v>
      </c>
      <c r="F404" s="39" t="s">
        <v>239</v>
      </c>
      <c r="G404" s="39" t="s">
        <v>205</v>
      </c>
      <c r="H404" s="42">
        <v>0</v>
      </c>
      <c r="I404" s="42">
        <v>0</v>
      </c>
      <c r="J404" s="42">
        <v>832</v>
      </c>
      <c r="K404" s="42">
        <v>832</v>
      </c>
      <c r="L404" s="42">
        <f t="shared" si="93"/>
        <v>602.42999999999995</v>
      </c>
      <c r="M404" s="42">
        <v>602.42999999999995</v>
      </c>
      <c r="N404" s="42">
        <v>0</v>
      </c>
      <c r="O404" s="42">
        <f t="shared" si="94"/>
        <v>0</v>
      </c>
      <c r="P404" s="203">
        <f t="shared" si="95"/>
        <v>0</v>
      </c>
    </row>
    <row r="405" spans="1:16" hidden="1" outlineLevel="1" x14ac:dyDescent="0.25">
      <c r="A405" s="39" t="s">
        <v>11</v>
      </c>
      <c r="B405" s="46" t="s">
        <v>547</v>
      </c>
      <c r="C405" s="202" t="s">
        <v>236</v>
      </c>
      <c r="D405" s="39" t="s">
        <v>52</v>
      </c>
      <c r="E405" s="39" t="s">
        <v>17</v>
      </c>
      <c r="F405" s="39" t="s">
        <v>239</v>
      </c>
      <c r="G405" s="39" t="s">
        <v>53</v>
      </c>
      <c r="H405" s="42">
        <v>108</v>
      </c>
      <c r="I405" s="42">
        <v>119</v>
      </c>
      <c r="J405" s="42">
        <v>153</v>
      </c>
      <c r="K405" s="42">
        <v>153</v>
      </c>
      <c r="L405" s="42">
        <f t="shared" si="93"/>
        <v>90</v>
      </c>
      <c r="M405" s="42">
        <v>90</v>
      </c>
      <c r="N405" s="42">
        <v>0</v>
      </c>
      <c r="O405" s="42">
        <f t="shared" si="94"/>
        <v>0</v>
      </c>
      <c r="P405" s="203">
        <f t="shared" si="95"/>
        <v>0</v>
      </c>
    </row>
    <row r="406" spans="1:16" hidden="1" outlineLevel="1" x14ac:dyDescent="0.25">
      <c r="A406" s="39" t="s">
        <v>11</v>
      </c>
      <c r="B406" s="46" t="s">
        <v>547</v>
      </c>
      <c r="C406" s="202" t="s">
        <v>236</v>
      </c>
      <c r="D406" s="39" t="s">
        <v>29</v>
      </c>
      <c r="E406" s="39" t="s">
        <v>17</v>
      </c>
      <c r="F406" s="39" t="s">
        <v>239</v>
      </c>
      <c r="G406" s="39" t="s">
        <v>243</v>
      </c>
      <c r="H406" s="42">
        <v>0</v>
      </c>
      <c r="I406" s="42">
        <v>0</v>
      </c>
      <c r="J406" s="42">
        <v>223</v>
      </c>
      <c r="K406" s="42">
        <v>223</v>
      </c>
      <c r="L406" s="42">
        <f t="shared" si="93"/>
        <v>168.58</v>
      </c>
      <c r="M406" s="42">
        <v>168.58</v>
      </c>
      <c r="N406" s="42">
        <v>0</v>
      </c>
      <c r="O406" s="42">
        <f t="shared" si="94"/>
        <v>0</v>
      </c>
      <c r="P406" s="203">
        <f t="shared" si="95"/>
        <v>0</v>
      </c>
    </row>
    <row r="407" spans="1:16" hidden="1" outlineLevel="1" x14ac:dyDescent="0.25">
      <c r="A407" s="39" t="s">
        <v>11</v>
      </c>
      <c r="B407" s="46" t="s">
        <v>547</v>
      </c>
      <c r="C407" s="202" t="s">
        <v>236</v>
      </c>
      <c r="D407" s="39" t="s">
        <v>32</v>
      </c>
      <c r="E407" s="39" t="s">
        <v>17</v>
      </c>
      <c r="F407" s="39" t="s">
        <v>239</v>
      </c>
      <c r="G407" s="39" t="s">
        <v>34</v>
      </c>
      <c r="H407" s="42">
        <v>1945.32</v>
      </c>
      <c r="I407" s="42">
        <v>1977.96</v>
      </c>
      <c r="J407" s="42">
        <v>2250</v>
      </c>
      <c r="K407" s="42">
        <v>2250</v>
      </c>
      <c r="L407" s="42">
        <f t="shared" si="93"/>
        <v>1686.33</v>
      </c>
      <c r="M407" s="42">
        <v>1686.33</v>
      </c>
      <c r="N407" s="42">
        <v>0</v>
      </c>
      <c r="O407" s="42">
        <f t="shared" si="94"/>
        <v>0</v>
      </c>
      <c r="P407" s="203">
        <f t="shared" si="95"/>
        <v>0</v>
      </c>
    </row>
    <row r="408" spans="1:16" hidden="1" outlineLevel="1" x14ac:dyDescent="0.25">
      <c r="A408" s="39" t="s">
        <v>11</v>
      </c>
      <c r="B408" s="46" t="s">
        <v>547</v>
      </c>
      <c r="C408" s="202" t="s">
        <v>236</v>
      </c>
      <c r="D408" s="39" t="s">
        <v>36</v>
      </c>
      <c r="E408" s="39" t="s">
        <v>17</v>
      </c>
      <c r="F408" s="39" t="s">
        <v>239</v>
      </c>
      <c r="G408" s="39" t="s">
        <v>38</v>
      </c>
      <c r="H408" s="42">
        <v>105.32</v>
      </c>
      <c r="I408" s="42">
        <v>113.02</v>
      </c>
      <c r="J408" s="42">
        <v>128</v>
      </c>
      <c r="K408" s="42">
        <v>128</v>
      </c>
      <c r="L408" s="42">
        <f t="shared" si="93"/>
        <v>96.3</v>
      </c>
      <c r="M408" s="42">
        <v>96.3</v>
      </c>
      <c r="N408" s="42">
        <v>0</v>
      </c>
      <c r="O408" s="42">
        <f t="shared" si="94"/>
        <v>0</v>
      </c>
      <c r="P408" s="203">
        <f t="shared" si="95"/>
        <v>0</v>
      </c>
    </row>
    <row r="409" spans="1:16" hidden="1" outlineLevel="1" x14ac:dyDescent="0.25">
      <c r="A409" s="39" t="s">
        <v>11</v>
      </c>
      <c r="B409" s="46" t="s">
        <v>547</v>
      </c>
      <c r="C409" s="202" t="s">
        <v>236</v>
      </c>
      <c r="D409" s="39" t="s">
        <v>40</v>
      </c>
      <c r="E409" s="39" t="s">
        <v>17</v>
      </c>
      <c r="F409" s="39" t="s">
        <v>239</v>
      </c>
      <c r="G409" s="39" t="s">
        <v>42</v>
      </c>
      <c r="H409" s="42">
        <v>394.94</v>
      </c>
      <c r="I409" s="42">
        <v>423.84</v>
      </c>
      <c r="J409" s="42">
        <v>482</v>
      </c>
      <c r="K409" s="42">
        <v>482</v>
      </c>
      <c r="L409" s="42">
        <f t="shared" si="93"/>
        <v>361.29</v>
      </c>
      <c r="M409" s="42">
        <v>361.29</v>
      </c>
      <c r="N409" s="42">
        <v>0</v>
      </c>
      <c r="O409" s="42">
        <f t="shared" si="94"/>
        <v>0</v>
      </c>
      <c r="P409" s="203">
        <f t="shared" si="95"/>
        <v>0</v>
      </c>
    </row>
    <row r="410" spans="1:16" hidden="1" outlineLevel="1" x14ac:dyDescent="0.25">
      <c r="A410" s="39" t="s">
        <v>11</v>
      </c>
      <c r="B410" s="46" t="s">
        <v>547</v>
      </c>
      <c r="C410" s="202" t="s">
        <v>236</v>
      </c>
      <c r="D410" s="39" t="s">
        <v>44</v>
      </c>
      <c r="E410" s="39" t="s">
        <v>17</v>
      </c>
      <c r="F410" s="39" t="s">
        <v>239</v>
      </c>
      <c r="G410" s="39" t="s">
        <v>46</v>
      </c>
      <c r="H410" s="42">
        <v>131.63999999999999</v>
      </c>
      <c r="I410" s="42">
        <v>141.28</v>
      </c>
      <c r="J410" s="42">
        <v>160</v>
      </c>
      <c r="K410" s="42">
        <v>160</v>
      </c>
      <c r="L410" s="42">
        <f t="shared" si="93"/>
        <v>120.38</v>
      </c>
      <c r="M410" s="42">
        <v>120.38</v>
      </c>
      <c r="N410" s="42">
        <v>0</v>
      </c>
      <c r="O410" s="42">
        <f t="shared" si="94"/>
        <v>0</v>
      </c>
      <c r="P410" s="203">
        <f t="shared" si="95"/>
        <v>0</v>
      </c>
    </row>
    <row r="411" spans="1:16" hidden="1" outlineLevel="1" x14ac:dyDescent="0.25">
      <c r="A411" s="39" t="s">
        <v>11</v>
      </c>
      <c r="B411" s="46" t="s">
        <v>547</v>
      </c>
      <c r="C411" s="202" t="s">
        <v>236</v>
      </c>
      <c r="D411" s="39" t="s">
        <v>48</v>
      </c>
      <c r="E411" s="39" t="s">
        <v>17</v>
      </c>
      <c r="F411" s="39" t="s">
        <v>239</v>
      </c>
      <c r="G411" s="39" t="s">
        <v>50</v>
      </c>
      <c r="H411" s="42">
        <v>625.34</v>
      </c>
      <c r="I411" s="42">
        <v>671.08</v>
      </c>
      <c r="J411" s="42">
        <v>764</v>
      </c>
      <c r="K411" s="42">
        <v>764</v>
      </c>
      <c r="L411" s="42">
        <f t="shared" si="93"/>
        <v>572.03</v>
      </c>
      <c r="M411" s="42">
        <v>572.03</v>
      </c>
      <c r="N411" s="42">
        <v>0</v>
      </c>
      <c r="O411" s="42">
        <f t="shared" si="94"/>
        <v>0</v>
      </c>
      <c r="P411" s="203">
        <f t="shared" si="95"/>
        <v>0</v>
      </c>
    </row>
    <row r="412" spans="1:16" hidden="1" outlineLevel="1" x14ac:dyDescent="0.25">
      <c r="A412" s="39" t="s">
        <v>11</v>
      </c>
      <c r="B412" s="46" t="s">
        <v>547</v>
      </c>
      <c r="C412" s="202" t="s">
        <v>236</v>
      </c>
      <c r="D412" s="39" t="s">
        <v>151</v>
      </c>
      <c r="E412" s="39" t="s">
        <v>17</v>
      </c>
      <c r="F412" s="39" t="s">
        <v>239</v>
      </c>
      <c r="G412" s="39" t="s">
        <v>248</v>
      </c>
      <c r="H412" s="42">
        <v>0</v>
      </c>
      <c r="I412" s="42">
        <v>0</v>
      </c>
      <c r="J412" s="42">
        <v>954</v>
      </c>
      <c r="K412" s="42">
        <v>954</v>
      </c>
      <c r="L412" s="42">
        <f t="shared" si="93"/>
        <v>504.6</v>
      </c>
      <c r="M412" s="42">
        <v>504.6</v>
      </c>
      <c r="N412" s="42">
        <v>0</v>
      </c>
      <c r="O412" s="42">
        <f t="shared" si="94"/>
        <v>0</v>
      </c>
      <c r="P412" s="203">
        <f t="shared" si="95"/>
        <v>0</v>
      </c>
    </row>
    <row r="413" spans="1:16" ht="15.75" hidden="1" outlineLevel="1" thickBot="1" x14ac:dyDescent="0.3">
      <c r="A413" s="39"/>
      <c r="B413" s="46"/>
      <c r="C413" s="204" t="s">
        <v>236</v>
      </c>
      <c r="D413" s="45" t="s">
        <v>155</v>
      </c>
      <c r="E413" s="45" t="s">
        <v>17</v>
      </c>
      <c r="F413" s="45" t="s">
        <v>239</v>
      </c>
      <c r="G413" s="45" t="s">
        <v>156</v>
      </c>
      <c r="H413" s="64">
        <v>0</v>
      </c>
      <c r="I413" s="64">
        <v>0</v>
      </c>
      <c r="J413" s="64">
        <v>205</v>
      </c>
      <c r="K413" s="64">
        <v>205</v>
      </c>
      <c r="L413" s="64">
        <f t="shared" si="93"/>
        <v>93.49</v>
      </c>
      <c r="M413" s="64">
        <v>93.49</v>
      </c>
      <c r="N413" s="64">
        <v>0</v>
      </c>
      <c r="O413" s="64">
        <f t="shared" si="94"/>
        <v>0</v>
      </c>
      <c r="P413" s="205">
        <f t="shared" si="95"/>
        <v>0</v>
      </c>
    </row>
    <row r="414" spans="1:16" ht="15.75" collapsed="1" thickBot="1" x14ac:dyDescent="0.3">
      <c r="A414" s="39" t="s">
        <v>11</v>
      </c>
      <c r="B414" s="46" t="s">
        <v>545</v>
      </c>
      <c r="C414" s="245"/>
      <c r="D414" s="81"/>
      <c r="E414" s="76"/>
      <c r="F414" s="76"/>
      <c r="G414" s="61" t="s">
        <v>627</v>
      </c>
      <c r="H414" s="62">
        <v>17112.75</v>
      </c>
      <c r="I414" s="62">
        <v>19411.14</v>
      </c>
      <c r="J414" s="62">
        <f t="shared" ref="J414:P414" si="96">SUM(J402:J413)</f>
        <v>22451</v>
      </c>
      <c r="K414" s="62">
        <f t="shared" si="96"/>
        <v>22451</v>
      </c>
      <c r="L414" s="62">
        <f t="shared" si="96"/>
        <v>16970.210000000003</v>
      </c>
      <c r="M414" s="62">
        <f t="shared" si="96"/>
        <v>16970.210000000003</v>
      </c>
      <c r="N414" s="62">
        <f t="shared" si="96"/>
        <v>0</v>
      </c>
      <c r="O414" s="62">
        <f t="shared" si="96"/>
        <v>0</v>
      </c>
      <c r="P414" s="63">
        <f t="shared" si="96"/>
        <v>0</v>
      </c>
    </row>
    <row r="415" spans="1:16" ht="15" hidden="1" customHeight="1" outlineLevel="1" x14ac:dyDescent="0.25">
      <c r="A415" s="39" t="s">
        <v>11</v>
      </c>
      <c r="B415" s="46" t="s">
        <v>545</v>
      </c>
      <c r="C415" s="246"/>
      <c r="D415" s="58" t="s">
        <v>13</v>
      </c>
      <c r="E415" s="40" t="s">
        <v>213</v>
      </c>
      <c r="F415" s="40" t="s">
        <v>237</v>
      </c>
      <c r="G415" s="40" t="s">
        <v>16</v>
      </c>
      <c r="H415" s="41">
        <v>5887.53</v>
      </c>
      <c r="I415" s="41">
        <v>3863.01</v>
      </c>
      <c r="J415" s="41">
        <v>0</v>
      </c>
      <c r="K415" s="41">
        <v>0</v>
      </c>
      <c r="L415" s="41">
        <v>0</v>
      </c>
      <c r="M415" s="41">
        <v>0</v>
      </c>
      <c r="N415" s="41">
        <v>0</v>
      </c>
      <c r="O415" s="41">
        <f t="shared" si="94"/>
        <v>0</v>
      </c>
      <c r="P415" s="201">
        <f t="shared" si="95"/>
        <v>0</v>
      </c>
    </row>
    <row r="416" spans="1:16" ht="15" hidden="1" customHeight="1" outlineLevel="1" x14ac:dyDescent="0.25">
      <c r="A416" s="39" t="s">
        <v>11</v>
      </c>
      <c r="B416" s="46" t="s">
        <v>545</v>
      </c>
      <c r="C416" s="246"/>
      <c r="D416" s="47" t="s">
        <v>13</v>
      </c>
      <c r="E416" s="39" t="s">
        <v>217</v>
      </c>
      <c r="F416" s="39" t="s">
        <v>237</v>
      </c>
      <c r="G416" s="39" t="s">
        <v>16</v>
      </c>
      <c r="H416" s="42">
        <v>1096.6199999999999</v>
      </c>
      <c r="I416" s="42">
        <v>868.44</v>
      </c>
      <c r="J416" s="42">
        <v>0</v>
      </c>
      <c r="K416" s="42">
        <v>0</v>
      </c>
      <c r="L416" s="42">
        <v>0</v>
      </c>
      <c r="M416" s="42">
        <v>0</v>
      </c>
      <c r="N416" s="42">
        <v>0</v>
      </c>
      <c r="O416" s="42">
        <f t="shared" si="94"/>
        <v>0</v>
      </c>
      <c r="P416" s="203">
        <f t="shared" si="95"/>
        <v>0</v>
      </c>
    </row>
    <row r="417" spans="1:16" ht="15" hidden="1" customHeight="1" outlineLevel="1" x14ac:dyDescent="0.25">
      <c r="A417" s="39" t="s">
        <v>11</v>
      </c>
      <c r="B417" s="46" t="s">
        <v>545</v>
      </c>
      <c r="C417" s="246"/>
      <c r="D417" s="47" t="s">
        <v>13</v>
      </c>
      <c r="E417" s="39" t="s">
        <v>17</v>
      </c>
      <c r="F417" s="39" t="s">
        <v>237</v>
      </c>
      <c r="G417" s="39" t="s">
        <v>16</v>
      </c>
      <c r="H417" s="42">
        <v>16488.689999999999</v>
      </c>
      <c r="I417" s="42">
        <v>17643.8</v>
      </c>
      <c r="J417" s="42">
        <v>0</v>
      </c>
      <c r="K417" s="42">
        <v>0</v>
      </c>
      <c r="L417" s="42">
        <v>0</v>
      </c>
      <c r="M417" s="42">
        <v>0</v>
      </c>
      <c r="N417" s="42">
        <v>0</v>
      </c>
      <c r="O417" s="42">
        <f t="shared" si="94"/>
        <v>0</v>
      </c>
      <c r="P417" s="203">
        <f t="shared" si="95"/>
        <v>0</v>
      </c>
    </row>
    <row r="418" spans="1:16" ht="15" hidden="1" customHeight="1" outlineLevel="1" x14ac:dyDescent="0.25">
      <c r="A418" s="39" t="s">
        <v>11</v>
      </c>
      <c r="B418" s="46" t="s">
        <v>545</v>
      </c>
      <c r="C418" s="246"/>
      <c r="D418" s="47" t="s">
        <v>22</v>
      </c>
      <c r="E418" s="39" t="s">
        <v>213</v>
      </c>
      <c r="F418" s="39" t="s">
        <v>237</v>
      </c>
      <c r="G418" s="39" t="s">
        <v>23</v>
      </c>
      <c r="H418" s="42">
        <v>445.8</v>
      </c>
      <c r="I418" s="42">
        <v>538.57000000000005</v>
      </c>
      <c r="J418" s="42">
        <v>0</v>
      </c>
      <c r="K418" s="42">
        <v>0</v>
      </c>
      <c r="L418" s="42">
        <v>0</v>
      </c>
      <c r="M418" s="42">
        <v>0</v>
      </c>
      <c r="N418" s="42">
        <v>0</v>
      </c>
      <c r="O418" s="42">
        <f t="shared" si="94"/>
        <v>0</v>
      </c>
      <c r="P418" s="203">
        <f t="shared" si="95"/>
        <v>0</v>
      </c>
    </row>
    <row r="419" spans="1:16" ht="15" hidden="1" customHeight="1" outlineLevel="1" x14ac:dyDescent="0.25">
      <c r="A419" s="39" t="s">
        <v>11</v>
      </c>
      <c r="B419" s="46" t="s">
        <v>545</v>
      </c>
      <c r="C419" s="246"/>
      <c r="D419" s="47" t="s">
        <v>22</v>
      </c>
      <c r="E419" s="39" t="s">
        <v>217</v>
      </c>
      <c r="F419" s="39" t="s">
        <v>237</v>
      </c>
      <c r="G419" s="39" t="s">
        <v>23</v>
      </c>
      <c r="H419" s="42">
        <v>78.67</v>
      </c>
      <c r="I419" s="42">
        <v>95.04</v>
      </c>
      <c r="J419" s="42">
        <v>0</v>
      </c>
      <c r="K419" s="42">
        <v>0</v>
      </c>
      <c r="L419" s="42">
        <v>0</v>
      </c>
      <c r="M419" s="42">
        <v>0</v>
      </c>
      <c r="N419" s="42">
        <v>0</v>
      </c>
      <c r="O419" s="42">
        <f t="shared" si="94"/>
        <v>0</v>
      </c>
      <c r="P419" s="203">
        <f t="shared" si="95"/>
        <v>0</v>
      </c>
    </row>
    <row r="420" spans="1:16" ht="15" hidden="1" customHeight="1" outlineLevel="1" x14ac:dyDescent="0.25">
      <c r="A420" s="39" t="s">
        <v>11</v>
      </c>
      <c r="B420" s="46" t="s">
        <v>545</v>
      </c>
      <c r="C420" s="246"/>
      <c r="D420" s="47" t="s">
        <v>26</v>
      </c>
      <c r="E420" s="39" t="s">
        <v>213</v>
      </c>
      <c r="F420" s="39" t="s">
        <v>237</v>
      </c>
      <c r="G420" s="39" t="s">
        <v>205</v>
      </c>
      <c r="H420" s="42">
        <v>291.72000000000003</v>
      </c>
      <c r="I420" s="42">
        <v>34</v>
      </c>
      <c r="J420" s="42">
        <v>0</v>
      </c>
      <c r="K420" s="42">
        <v>0</v>
      </c>
      <c r="L420" s="42">
        <v>0</v>
      </c>
      <c r="M420" s="42">
        <v>0</v>
      </c>
      <c r="N420" s="42">
        <v>0</v>
      </c>
      <c r="O420" s="42">
        <f t="shared" si="94"/>
        <v>0</v>
      </c>
      <c r="P420" s="203">
        <f t="shared" si="95"/>
        <v>0</v>
      </c>
    </row>
    <row r="421" spans="1:16" ht="15" hidden="1" customHeight="1" outlineLevel="1" x14ac:dyDescent="0.25">
      <c r="A421" s="39" t="s">
        <v>11</v>
      </c>
      <c r="B421" s="46" t="s">
        <v>545</v>
      </c>
      <c r="C421" s="246"/>
      <c r="D421" s="47" t="s">
        <v>26</v>
      </c>
      <c r="E421" s="39" t="s">
        <v>217</v>
      </c>
      <c r="F421" s="39" t="s">
        <v>237</v>
      </c>
      <c r="G421" s="39" t="s">
        <v>205</v>
      </c>
      <c r="H421" s="42">
        <v>51.48</v>
      </c>
      <c r="I421" s="42">
        <v>6</v>
      </c>
      <c r="J421" s="42">
        <v>0</v>
      </c>
      <c r="K421" s="42">
        <v>0</v>
      </c>
      <c r="L421" s="42">
        <v>0</v>
      </c>
      <c r="M421" s="42">
        <v>0</v>
      </c>
      <c r="N421" s="42">
        <v>0</v>
      </c>
      <c r="O421" s="42">
        <f t="shared" si="94"/>
        <v>0</v>
      </c>
      <c r="P421" s="203">
        <f t="shared" si="95"/>
        <v>0</v>
      </c>
    </row>
    <row r="422" spans="1:16" ht="15" hidden="1" customHeight="1" outlineLevel="1" x14ac:dyDescent="0.25">
      <c r="A422" s="39" t="s">
        <v>11</v>
      </c>
      <c r="B422" s="46" t="s">
        <v>545</v>
      </c>
      <c r="C422" s="246"/>
      <c r="D422" s="47" t="s">
        <v>29</v>
      </c>
      <c r="E422" s="39" t="s">
        <v>213</v>
      </c>
      <c r="F422" s="39" t="s">
        <v>237</v>
      </c>
      <c r="G422" s="39" t="s">
        <v>184</v>
      </c>
      <c r="H422" s="42">
        <v>117.94</v>
      </c>
      <c r="I422" s="42">
        <v>95.4</v>
      </c>
      <c r="J422" s="42">
        <v>0</v>
      </c>
      <c r="K422" s="42">
        <v>0</v>
      </c>
      <c r="L422" s="42">
        <v>0</v>
      </c>
      <c r="M422" s="42">
        <v>0</v>
      </c>
      <c r="N422" s="42">
        <v>0</v>
      </c>
      <c r="O422" s="42">
        <f t="shared" si="94"/>
        <v>0</v>
      </c>
      <c r="P422" s="203">
        <f t="shared" si="95"/>
        <v>0</v>
      </c>
    </row>
    <row r="423" spans="1:16" ht="15" hidden="1" customHeight="1" outlineLevel="1" x14ac:dyDescent="0.25">
      <c r="A423" s="39" t="s">
        <v>11</v>
      </c>
      <c r="B423" s="46" t="s">
        <v>545</v>
      </c>
      <c r="C423" s="246"/>
      <c r="D423" s="47" t="s">
        <v>32</v>
      </c>
      <c r="E423" s="39" t="s">
        <v>213</v>
      </c>
      <c r="F423" s="39" t="s">
        <v>237</v>
      </c>
      <c r="G423" s="39" t="s">
        <v>185</v>
      </c>
      <c r="H423" s="42">
        <v>1087.92</v>
      </c>
      <c r="I423" s="42">
        <v>954.44</v>
      </c>
      <c r="J423" s="42">
        <v>0</v>
      </c>
      <c r="K423" s="42">
        <v>0</v>
      </c>
      <c r="L423" s="42">
        <v>0</v>
      </c>
      <c r="M423" s="42">
        <v>0</v>
      </c>
      <c r="N423" s="42">
        <v>0</v>
      </c>
      <c r="O423" s="42">
        <f t="shared" si="94"/>
        <v>0</v>
      </c>
      <c r="P423" s="203">
        <f t="shared" si="95"/>
        <v>0</v>
      </c>
    </row>
    <row r="424" spans="1:16" ht="15" hidden="1" customHeight="1" outlineLevel="1" x14ac:dyDescent="0.25">
      <c r="A424" s="39" t="s">
        <v>11</v>
      </c>
      <c r="B424" s="46" t="s">
        <v>545</v>
      </c>
      <c r="C424" s="246"/>
      <c r="D424" s="47" t="s">
        <v>36</v>
      </c>
      <c r="E424" s="39" t="s">
        <v>213</v>
      </c>
      <c r="F424" s="39" t="s">
        <v>237</v>
      </c>
      <c r="G424" s="39" t="s">
        <v>186</v>
      </c>
      <c r="H424" s="42">
        <v>67.400000000000006</v>
      </c>
      <c r="I424" s="42">
        <v>54.54</v>
      </c>
      <c r="J424" s="42">
        <v>0</v>
      </c>
      <c r="K424" s="42">
        <v>0</v>
      </c>
      <c r="L424" s="42">
        <v>0</v>
      </c>
      <c r="M424" s="42">
        <v>0</v>
      </c>
      <c r="N424" s="42">
        <v>0</v>
      </c>
      <c r="O424" s="42">
        <f t="shared" si="94"/>
        <v>0</v>
      </c>
      <c r="P424" s="203">
        <f t="shared" si="95"/>
        <v>0</v>
      </c>
    </row>
    <row r="425" spans="1:16" ht="15" hidden="1" customHeight="1" outlineLevel="1" x14ac:dyDescent="0.25">
      <c r="A425" s="39" t="s">
        <v>11</v>
      </c>
      <c r="B425" s="46" t="s">
        <v>545</v>
      </c>
      <c r="C425" s="246"/>
      <c r="D425" s="47" t="s">
        <v>36</v>
      </c>
      <c r="E425" s="39" t="s">
        <v>217</v>
      </c>
      <c r="F425" s="39" t="s">
        <v>237</v>
      </c>
      <c r="G425" s="39" t="s">
        <v>186</v>
      </c>
      <c r="H425" s="42">
        <v>11.89</v>
      </c>
      <c r="I425" s="42">
        <v>9.6</v>
      </c>
      <c r="J425" s="42">
        <v>0</v>
      </c>
      <c r="K425" s="42">
        <v>0</v>
      </c>
      <c r="L425" s="42">
        <v>0</v>
      </c>
      <c r="M425" s="42">
        <v>0</v>
      </c>
      <c r="N425" s="42">
        <v>0</v>
      </c>
      <c r="O425" s="42">
        <f t="shared" si="94"/>
        <v>0</v>
      </c>
      <c r="P425" s="203">
        <f t="shared" si="95"/>
        <v>0</v>
      </c>
    </row>
    <row r="426" spans="1:16" ht="15" hidden="1" customHeight="1" outlineLevel="1" x14ac:dyDescent="0.25">
      <c r="A426" s="39" t="s">
        <v>11</v>
      </c>
      <c r="B426" s="46" t="s">
        <v>545</v>
      </c>
      <c r="C426" s="246"/>
      <c r="D426" s="47" t="s">
        <v>40</v>
      </c>
      <c r="E426" s="39" t="s">
        <v>213</v>
      </c>
      <c r="F426" s="39" t="s">
        <v>237</v>
      </c>
      <c r="G426" s="39" t="s">
        <v>187</v>
      </c>
      <c r="H426" s="42">
        <v>252.78</v>
      </c>
      <c r="I426" s="42">
        <v>204.49</v>
      </c>
      <c r="J426" s="42">
        <v>0</v>
      </c>
      <c r="K426" s="42">
        <v>0</v>
      </c>
      <c r="L426" s="42">
        <v>0</v>
      </c>
      <c r="M426" s="42">
        <v>0</v>
      </c>
      <c r="N426" s="42">
        <v>0</v>
      </c>
      <c r="O426" s="42">
        <f t="shared" si="94"/>
        <v>0</v>
      </c>
      <c r="P426" s="203">
        <f t="shared" si="95"/>
        <v>0</v>
      </c>
    </row>
    <row r="427" spans="1:16" ht="15" hidden="1" customHeight="1" outlineLevel="1" x14ac:dyDescent="0.25">
      <c r="A427" s="39" t="s">
        <v>11</v>
      </c>
      <c r="B427" s="46" t="s">
        <v>545</v>
      </c>
      <c r="C427" s="246"/>
      <c r="D427" s="47" t="s">
        <v>40</v>
      </c>
      <c r="E427" s="39" t="s">
        <v>217</v>
      </c>
      <c r="F427" s="39" t="s">
        <v>237</v>
      </c>
      <c r="G427" s="39" t="s">
        <v>187</v>
      </c>
      <c r="H427" s="42">
        <v>44.61</v>
      </c>
      <c r="I427" s="42">
        <v>36.1</v>
      </c>
      <c r="J427" s="42">
        <v>0</v>
      </c>
      <c r="K427" s="42">
        <v>0</v>
      </c>
      <c r="L427" s="42">
        <v>0</v>
      </c>
      <c r="M427" s="42">
        <v>0</v>
      </c>
      <c r="N427" s="42">
        <v>0</v>
      </c>
      <c r="O427" s="42">
        <f t="shared" si="94"/>
        <v>0</v>
      </c>
      <c r="P427" s="203">
        <f t="shared" si="95"/>
        <v>0</v>
      </c>
    </row>
    <row r="428" spans="1:16" ht="15" hidden="1" customHeight="1" outlineLevel="1" x14ac:dyDescent="0.25">
      <c r="A428" s="39" t="s">
        <v>11</v>
      </c>
      <c r="B428" s="46" t="s">
        <v>545</v>
      </c>
      <c r="C428" s="246"/>
      <c r="D428" s="47" t="s">
        <v>44</v>
      </c>
      <c r="E428" s="39" t="s">
        <v>213</v>
      </c>
      <c r="F428" s="39" t="s">
        <v>237</v>
      </c>
      <c r="G428" s="39" t="s">
        <v>47</v>
      </c>
      <c r="H428" s="42">
        <v>84.25</v>
      </c>
      <c r="I428" s="42">
        <v>68.150000000000006</v>
      </c>
      <c r="J428" s="42">
        <v>0</v>
      </c>
      <c r="K428" s="42">
        <v>0</v>
      </c>
      <c r="L428" s="42">
        <v>0</v>
      </c>
      <c r="M428" s="42">
        <v>0</v>
      </c>
      <c r="N428" s="42">
        <v>0</v>
      </c>
      <c r="O428" s="42">
        <f t="shared" si="94"/>
        <v>0</v>
      </c>
      <c r="P428" s="203">
        <f t="shared" si="95"/>
        <v>0</v>
      </c>
    </row>
    <row r="429" spans="1:16" ht="15" hidden="1" customHeight="1" outlineLevel="1" x14ac:dyDescent="0.25">
      <c r="A429" s="39" t="s">
        <v>11</v>
      </c>
      <c r="B429" s="46" t="s">
        <v>545</v>
      </c>
      <c r="C429" s="246"/>
      <c r="D429" s="47" t="s">
        <v>44</v>
      </c>
      <c r="E429" s="39" t="s">
        <v>217</v>
      </c>
      <c r="F429" s="39" t="s">
        <v>237</v>
      </c>
      <c r="G429" s="39" t="s">
        <v>47</v>
      </c>
      <c r="H429" s="42">
        <v>14.86</v>
      </c>
      <c r="I429" s="42">
        <v>12.02</v>
      </c>
      <c r="J429" s="42">
        <v>0</v>
      </c>
      <c r="K429" s="42">
        <v>0</v>
      </c>
      <c r="L429" s="42">
        <v>0</v>
      </c>
      <c r="M429" s="42">
        <v>0</v>
      </c>
      <c r="N429" s="42">
        <v>0</v>
      </c>
      <c r="O429" s="42">
        <f t="shared" si="94"/>
        <v>0</v>
      </c>
      <c r="P429" s="203">
        <f t="shared" si="95"/>
        <v>0</v>
      </c>
    </row>
    <row r="430" spans="1:16" ht="15" hidden="1" customHeight="1" outlineLevel="1" x14ac:dyDescent="0.25">
      <c r="A430" s="39" t="s">
        <v>11</v>
      </c>
      <c r="B430" s="46" t="s">
        <v>545</v>
      </c>
      <c r="C430" s="246"/>
      <c r="D430" s="47" t="s">
        <v>48</v>
      </c>
      <c r="E430" s="39" t="s">
        <v>213</v>
      </c>
      <c r="F430" s="39" t="s">
        <v>237</v>
      </c>
      <c r="G430" s="39" t="s">
        <v>188</v>
      </c>
      <c r="H430" s="42">
        <v>400.23</v>
      </c>
      <c r="I430" s="42">
        <v>323.82</v>
      </c>
      <c r="J430" s="42">
        <v>0</v>
      </c>
      <c r="K430" s="42">
        <v>0</v>
      </c>
      <c r="L430" s="42">
        <v>0</v>
      </c>
      <c r="M430" s="42">
        <v>0</v>
      </c>
      <c r="N430" s="42">
        <v>0</v>
      </c>
      <c r="O430" s="42">
        <f t="shared" si="94"/>
        <v>0</v>
      </c>
      <c r="P430" s="203">
        <f t="shared" si="95"/>
        <v>0</v>
      </c>
    </row>
    <row r="431" spans="1:16" ht="15" hidden="1" customHeight="1" outlineLevel="1" x14ac:dyDescent="0.25">
      <c r="A431" s="39" t="s">
        <v>11</v>
      </c>
      <c r="B431" s="46" t="s">
        <v>545</v>
      </c>
      <c r="C431" s="246"/>
      <c r="D431" s="47" t="s">
        <v>48</v>
      </c>
      <c r="E431" s="39" t="s">
        <v>217</v>
      </c>
      <c r="F431" s="39" t="s">
        <v>237</v>
      </c>
      <c r="G431" s="39" t="s">
        <v>188</v>
      </c>
      <c r="H431" s="42">
        <v>70.64</v>
      </c>
      <c r="I431" s="42">
        <v>57.14</v>
      </c>
      <c r="J431" s="42">
        <v>0</v>
      </c>
      <c r="K431" s="42">
        <v>0</v>
      </c>
      <c r="L431" s="42">
        <v>0</v>
      </c>
      <c r="M431" s="42">
        <v>0</v>
      </c>
      <c r="N431" s="42">
        <v>0</v>
      </c>
      <c r="O431" s="42">
        <f t="shared" si="94"/>
        <v>0</v>
      </c>
      <c r="P431" s="203">
        <f t="shared" si="95"/>
        <v>0</v>
      </c>
    </row>
    <row r="432" spans="1:16" ht="15" hidden="1" customHeight="1" outlineLevel="1" x14ac:dyDescent="0.25">
      <c r="A432" s="39" t="s">
        <v>11</v>
      </c>
      <c r="B432" s="46" t="s">
        <v>545</v>
      </c>
      <c r="C432" s="246"/>
      <c r="D432" s="47" t="s">
        <v>128</v>
      </c>
      <c r="E432" s="39" t="s">
        <v>213</v>
      </c>
      <c r="F432" s="39" t="s">
        <v>237</v>
      </c>
      <c r="G432" s="39" t="s">
        <v>246</v>
      </c>
      <c r="H432" s="42">
        <v>145.52000000000001</v>
      </c>
      <c r="I432" s="42">
        <v>136.78</v>
      </c>
      <c r="J432" s="42">
        <v>0</v>
      </c>
      <c r="K432" s="42">
        <v>0</v>
      </c>
      <c r="L432" s="42">
        <f>M432/10*12</f>
        <v>0</v>
      </c>
      <c r="M432" s="42">
        <v>0</v>
      </c>
      <c r="N432" s="42">
        <v>0</v>
      </c>
      <c r="O432" s="42">
        <f t="shared" si="94"/>
        <v>0</v>
      </c>
      <c r="P432" s="203">
        <f t="shared" si="95"/>
        <v>0</v>
      </c>
    </row>
    <row r="433" spans="1:16" ht="15" hidden="1" customHeight="1" outlineLevel="1" x14ac:dyDescent="0.25">
      <c r="A433" s="39" t="s">
        <v>11</v>
      </c>
      <c r="B433" s="46" t="s">
        <v>545</v>
      </c>
      <c r="C433" s="246"/>
      <c r="D433" s="47" t="s">
        <v>128</v>
      </c>
      <c r="E433" s="39" t="s">
        <v>217</v>
      </c>
      <c r="F433" s="39" t="s">
        <v>237</v>
      </c>
      <c r="G433" s="39" t="s">
        <v>246</v>
      </c>
      <c r="H433" s="42">
        <v>25.68</v>
      </c>
      <c r="I433" s="42">
        <v>24.14</v>
      </c>
      <c r="J433" s="42">
        <v>0</v>
      </c>
      <c r="K433" s="42">
        <v>0</v>
      </c>
      <c r="L433" s="42">
        <f>M433/10*12</f>
        <v>0</v>
      </c>
      <c r="M433" s="42">
        <v>0</v>
      </c>
      <c r="N433" s="42">
        <v>0</v>
      </c>
      <c r="O433" s="42">
        <f t="shared" si="94"/>
        <v>0</v>
      </c>
      <c r="P433" s="203">
        <f t="shared" si="95"/>
        <v>0</v>
      </c>
    </row>
    <row r="434" spans="1:16" ht="15" hidden="1" customHeight="1" outlineLevel="1" x14ac:dyDescent="0.25">
      <c r="A434" s="39" t="s">
        <v>11</v>
      </c>
      <c r="B434" s="46" t="s">
        <v>545</v>
      </c>
      <c r="C434" s="246"/>
      <c r="D434" s="47" t="s">
        <v>151</v>
      </c>
      <c r="E434" s="39" t="s">
        <v>17</v>
      </c>
      <c r="F434" s="39" t="s">
        <v>237</v>
      </c>
      <c r="G434" s="39" t="s">
        <v>152</v>
      </c>
      <c r="H434" s="42">
        <v>0</v>
      </c>
      <c r="I434" s="42">
        <v>1240.22</v>
      </c>
      <c r="J434" s="42">
        <v>0</v>
      </c>
      <c r="K434" s="42">
        <v>0</v>
      </c>
      <c r="L434" s="42">
        <f>M434/10*12</f>
        <v>0</v>
      </c>
      <c r="M434" s="42">
        <v>0</v>
      </c>
      <c r="N434" s="42">
        <v>0</v>
      </c>
      <c r="O434" s="42">
        <f t="shared" si="94"/>
        <v>0</v>
      </c>
      <c r="P434" s="203">
        <f t="shared" si="95"/>
        <v>0</v>
      </c>
    </row>
    <row r="435" spans="1:16" ht="15" hidden="1" customHeight="1" outlineLevel="1" thickBot="1" x14ac:dyDescent="0.3">
      <c r="A435" s="39"/>
      <c r="B435" s="46"/>
      <c r="C435" s="246"/>
      <c r="D435" s="59" t="s">
        <v>155</v>
      </c>
      <c r="E435" s="45" t="s">
        <v>17</v>
      </c>
      <c r="F435" s="45" t="s">
        <v>237</v>
      </c>
      <c r="G435" s="45" t="s">
        <v>156</v>
      </c>
      <c r="H435" s="64">
        <v>0</v>
      </c>
      <c r="I435" s="64">
        <v>257.42</v>
      </c>
      <c r="J435" s="64">
        <v>0</v>
      </c>
      <c r="K435" s="64">
        <v>0</v>
      </c>
      <c r="L435" s="64">
        <f>M435/10*12</f>
        <v>0</v>
      </c>
      <c r="M435" s="64">
        <v>0</v>
      </c>
      <c r="N435" s="64">
        <v>0</v>
      </c>
      <c r="O435" s="64">
        <f t="shared" si="94"/>
        <v>0</v>
      </c>
      <c r="P435" s="205">
        <f t="shared" si="95"/>
        <v>0</v>
      </c>
    </row>
    <row r="436" spans="1:16" ht="15.75" collapsed="1" thickBot="1" x14ac:dyDescent="0.3">
      <c r="A436" s="39" t="s">
        <v>11</v>
      </c>
      <c r="B436" s="46" t="s">
        <v>545</v>
      </c>
      <c r="C436" s="246"/>
      <c r="D436" s="81"/>
      <c r="E436" s="76"/>
      <c r="F436" s="76"/>
      <c r="G436" s="61" t="s">
        <v>744</v>
      </c>
      <c r="H436" s="62">
        <v>3550.64</v>
      </c>
      <c r="I436" s="62">
        <v>3655.32</v>
      </c>
      <c r="J436" s="62">
        <f t="shared" ref="J436:P436" si="97">SUM(J415:J435)</f>
        <v>0</v>
      </c>
      <c r="K436" s="62">
        <f t="shared" si="97"/>
        <v>0</v>
      </c>
      <c r="L436" s="62">
        <f t="shared" si="97"/>
        <v>0</v>
      </c>
      <c r="M436" s="62">
        <f t="shared" si="97"/>
        <v>0</v>
      </c>
      <c r="N436" s="62">
        <f t="shared" si="97"/>
        <v>0</v>
      </c>
      <c r="O436" s="62">
        <f t="shared" si="97"/>
        <v>0</v>
      </c>
      <c r="P436" s="63">
        <f t="shared" si="97"/>
        <v>0</v>
      </c>
    </row>
    <row r="437" spans="1:16" ht="15" hidden="1" customHeight="1" outlineLevel="1" x14ac:dyDescent="0.25">
      <c r="A437" s="39" t="s">
        <v>11</v>
      </c>
      <c r="B437" s="46" t="s">
        <v>545</v>
      </c>
      <c r="C437" s="246"/>
      <c r="D437" s="58" t="s">
        <v>13</v>
      </c>
      <c r="E437" s="40" t="s">
        <v>213</v>
      </c>
      <c r="F437" s="40" t="s">
        <v>238</v>
      </c>
      <c r="G437" s="40" t="s">
        <v>19</v>
      </c>
      <c r="H437" s="41">
        <f>4227.16+680</f>
        <v>4907.16</v>
      </c>
      <c r="I437" s="41">
        <v>1572.32</v>
      </c>
      <c r="J437" s="41">
        <v>7115</v>
      </c>
      <c r="K437" s="41">
        <v>7115</v>
      </c>
      <c r="L437" s="41">
        <f>M437+800</f>
        <v>3748.98</v>
      </c>
      <c r="M437" s="41">
        <v>2948.98</v>
      </c>
      <c r="N437" s="41">
        <v>4000</v>
      </c>
      <c r="O437" s="41">
        <f t="shared" si="94"/>
        <v>4000</v>
      </c>
      <c r="P437" s="201">
        <f t="shared" si="95"/>
        <v>4000</v>
      </c>
    </row>
    <row r="438" spans="1:16" ht="15" hidden="1" customHeight="1" outlineLevel="1" x14ac:dyDescent="0.25">
      <c r="A438" s="39" t="s">
        <v>11</v>
      </c>
      <c r="B438" s="46" t="s">
        <v>545</v>
      </c>
      <c r="C438" s="246"/>
      <c r="D438" s="47" t="s">
        <v>13</v>
      </c>
      <c r="E438" s="39" t="s">
        <v>217</v>
      </c>
      <c r="F438" s="39" t="s">
        <v>238</v>
      </c>
      <c r="G438" s="39" t="s">
        <v>19</v>
      </c>
      <c r="H438" s="42">
        <f>809.4+120</f>
        <v>929.4</v>
      </c>
      <c r="I438" s="42">
        <v>464.34</v>
      </c>
      <c r="J438" s="42">
        <v>1255</v>
      </c>
      <c r="K438" s="42">
        <v>1255</v>
      </c>
      <c r="L438" s="42">
        <v>520.47</v>
      </c>
      <c r="M438" s="42">
        <v>520.47</v>
      </c>
      <c r="N438" s="42">
        <v>800</v>
      </c>
      <c r="O438" s="42">
        <f t="shared" si="94"/>
        <v>800</v>
      </c>
      <c r="P438" s="203">
        <f t="shared" si="95"/>
        <v>800</v>
      </c>
    </row>
    <row r="439" spans="1:16" ht="15" hidden="1" customHeight="1" outlineLevel="1" x14ac:dyDescent="0.25">
      <c r="A439" s="39"/>
      <c r="B439" s="46"/>
      <c r="C439" s="246"/>
      <c r="D439" s="47" t="s">
        <v>13</v>
      </c>
      <c r="E439" s="39" t="s">
        <v>17</v>
      </c>
      <c r="F439" s="39" t="s">
        <v>238</v>
      </c>
      <c r="G439" s="39" t="s">
        <v>16</v>
      </c>
      <c r="H439" s="42">
        <v>4166.93</v>
      </c>
      <c r="I439" s="42">
        <v>4222.95</v>
      </c>
      <c r="J439" s="42">
        <v>1674</v>
      </c>
      <c r="K439" s="42">
        <v>1600</v>
      </c>
      <c r="L439" s="42">
        <v>0</v>
      </c>
      <c r="M439" s="42">
        <v>0</v>
      </c>
      <c r="N439" s="42"/>
      <c r="O439" s="42">
        <f t="shared" si="94"/>
        <v>0</v>
      </c>
      <c r="P439" s="203">
        <f t="shared" si="95"/>
        <v>0</v>
      </c>
    </row>
    <row r="440" spans="1:16" hidden="1" outlineLevel="1" x14ac:dyDescent="0.25">
      <c r="A440" s="39" t="s">
        <v>11</v>
      </c>
      <c r="B440" s="46" t="s">
        <v>545</v>
      </c>
      <c r="C440" s="246"/>
      <c r="D440" s="23" t="s">
        <v>468</v>
      </c>
      <c r="E440" s="20"/>
      <c r="F440" s="20"/>
      <c r="G440" s="20" t="s">
        <v>610</v>
      </c>
      <c r="H440" s="24">
        <f>SUM(H437:H439)</f>
        <v>10003.49</v>
      </c>
      <c r="I440" s="24">
        <f t="shared" ref="I440:P440" si="98">SUM(I437:I439)</f>
        <v>6259.61</v>
      </c>
      <c r="J440" s="24">
        <f t="shared" si="98"/>
        <v>10044</v>
      </c>
      <c r="K440" s="24">
        <f t="shared" si="98"/>
        <v>9970</v>
      </c>
      <c r="L440" s="24">
        <f t="shared" si="98"/>
        <v>4269.45</v>
      </c>
      <c r="M440" s="24">
        <f t="shared" si="98"/>
        <v>3469.45</v>
      </c>
      <c r="N440" s="24">
        <f t="shared" si="98"/>
        <v>4800</v>
      </c>
      <c r="O440" s="24">
        <f t="shared" si="98"/>
        <v>4800</v>
      </c>
      <c r="P440" s="215">
        <f t="shared" si="98"/>
        <v>4800</v>
      </c>
    </row>
    <row r="441" spans="1:16" ht="15" hidden="1" customHeight="1" outlineLevel="1" x14ac:dyDescent="0.25">
      <c r="A441" s="39" t="s">
        <v>11</v>
      </c>
      <c r="B441" s="46" t="s">
        <v>545</v>
      </c>
      <c r="C441" s="246"/>
      <c r="D441" s="23" t="s">
        <v>22</v>
      </c>
      <c r="E441" s="20" t="s">
        <v>213</v>
      </c>
      <c r="F441" s="20" t="s">
        <v>238</v>
      </c>
      <c r="G441" s="20" t="s">
        <v>23</v>
      </c>
      <c r="H441" s="24">
        <f>340.67+34</f>
        <v>374.67</v>
      </c>
      <c r="I441" s="24">
        <v>429.44</v>
      </c>
      <c r="J441" s="24">
        <f>J442</f>
        <v>1420</v>
      </c>
      <c r="K441" s="24">
        <f>294+K442</f>
        <v>1494</v>
      </c>
      <c r="L441" s="24">
        <f>368.44+6.46</f>
        <v>374.9</v>
      </c>
      <c r="M441" s="24">
        <f>288.44+M442</f>
        <v>294.89999999999998</v>
      </c>
      <c r="N441" s="24">
        <v>400</v>
      </c>
      <c r="O441" s="24">
        <f t="shared" si="94"/>
        <v>400</v>
      </c>
      <c r="P441" s="215">
        <f t="shared" si="95"/>
        <v>400</v>
      </c>
    </row>
    <row r="442" spans="1:16" ht="15" hidden="1" customHeight="1" outlineLevel="1" x14ac:dyDescent="0.25">
      <c r="A442" s="39" t="s">
        <v>11</v>
      </c>
      <c r="B442" s="46" t="s">
        <v>545</v>
      </c>
      <c r="C442" s="246"/>
      <c r="D442" s="23" t="s">
        <v>22</v>
      </c>
      <c r="E442" s="20" t="s">
        <v>213</v>
      </c>
      <c r="F442" s="20" t="s">
        <v>238</v>
      </c>
      <c r="G442" s="20" t="s">
        <v>240</v>
      </c>
      <c r="H442" s="24">
        <v>0</v>
      </c>
      <c r="I442" s="24">
        <v>0</v>
      </c>
      <c r="J442" s="24">
        <v>1420</v>
      </c>
      <c r="K442" s="24">
        <v>1200</v>
      </c>
      <c r="L442" s="24">
        <f>M442</f>
        <v>6.46</v>
      </c>
      <c r="M442" s="24">
        <v>6.46</v>
      </c>
      <c r="N442" s="24">
        <v>0</v>
      </c>
      <c r="O442" s="24">
        <f t="shared" si="94"/>
        <v>0</v>
      </c>
      <c r="P442" s="215">
        <f t="shared" si="95"/>
        <v>0</v>
      </c>
    </row>
    <row r="443" spans="1:16" ht="15" hidden="1" customHeight="1" outlineLevel="1" x14ac:dyDescent="0.25">
      <c r="A443" s="39" t="s">
        <v>11</v>
      </c>
      <c r="B443" s="46" t="s">
        <v>545</v>
      </c>
      <c r="C443" s="246"/>
      <c r="D443" s="23" t="s">
        <v>22</v>
      </c>
      <c r="E443" s="20" t="s">
        <v>217</v>
      </c>
      <c r="F443" s="20" t="s">
        <v>238</v>
      </c>
      <c r="G443" s="20" t="s">
        <v>241</v>
      </c>
      <c r="H443" s="24">
        <f>60.12+6</f>
        <v>66.12</v>
      </c>
      <c r="I443" s="24">
        <v>75.78</v>
      </c>
      <c r="J443" s="24">
        <v>250</v>
      </c>
      <c r="K443" s="24">
        <f>50+200</f>
        <v>250</v>
      </c>
      <c r="L443" s="24">
        <f>M443+L444</f>
        <v>53.18</v>
      </c>
      <c r="M443" s="24">
        <f>50.9+M444</f>
        <v>52.04</v>
      </c>
      <c r="N443" s="24">
        <v>80</v>
      </c>
      <c r="O443" s="24">
        <f t="shared" si="94"/>
        <v>80</v>
      </c>
      <c r="P443" s="215">
        <f t="shared" si="95"/>
        <v>80</v>
      </c>
    </row>
    <row r="444" spans="1:16" ht="15" hidden="1" customHeight="1" outlineLevel="1" x14ac:dyDescent="0.25">
      <c r="A444" s="39" t="s">
        <v>11</v>
      </c>
      <c r="B444" s="46" t="s">
        <v>545</v>
      </c>
      <c r="C444" s="246"/>
      <c r="D444" s="23" t="s">
        <v>22</v>
      </c>
      <c r="E444" s="20" t="s">
        <v>217</v>
      </c>
      <c r="F444" s="20" t="s">
        <v>238</v>
      </c>
      <c r="G444" s="20" t="s">
        <v>240</v>
      </c>
      <c r="H444" s="24">
        <v>0</v>
      </c>
      <c r="I444" s="24">
        <v>0</v>
      </c>
      <c r="J444" s="24">
        <v>250</v>
      </c>
      <c r="K444" s="24">
        <v>200</v>
      </c>
      <c r="L444" s="24">
        <f>M444</f>
        <v>1.1399999999999999</v>
      </c>
      <c r="M444" s="24">
        <v>1.1399999999999999</v>
      </c>
      <c r="N444" s="24"/>
      <c r="O444" s="24">
        <f t="shared" si="94"/>
        <v>0</v>
      </c>
      <c r="P444" s="215">
        <f t="shared" si="95"/>
        <v>0</v>
      </c>
    </row>
    <row r="445" spans="1:16" ht="15" hidden="1" customHeight="1" outlineLevel="1" x14ac:dyDescent="0.25">
      <c r="A445" s="39"/>
      <c r="B445" s="46"/>
      <c r="C445" s="246"/>
      <c r="D445" s="23" t="s">
        <v>22</v>
      </c>
      <c r="E445" s="20" t="s">
        <v>17</v>
      </c>
      <c r="F445" s="20" t="s">
        <v>238</v>
      </c>
      <c r="G445" s="20" t="s">
        <v>240</v>
      </c>
      <c r="H445" s="24">
        <v>80</v>
      </c>
      <c r="I445" s="24">
        <v>80</v>
      </c>
      <c r="J445" s="24">
        <v>167</v>
      </c>
      <c r="K445" s="24">
        <v>167</v>
      </c>
      <c r="L445" s="24">
        <v>0</v>
      </c>
      <c r="M445" s="24">
        <v>0</v>
      </c>
      <c r="N445" s="24"/>
      <c r="O445" s="24">
        <f t="shared" si="94"/>
        <v>0</v>
      </c>
      <c r="P445" s="215">
        <f t="shared" si="95"/>
        <v>0</v>
      </c>
    </row>
    <row r="446" spans="1:16" ht="15" hidden="1" customHeight="1" outlineLevel="1" x14ac:dyDescent="0.25">
      <c r="A446" s="39" t="s">
        <v>11</v>
      </c>
      <c r="B446" s="46" t="s">
        <v>545</v>
      </c>
      <c r="C446" s="246"/>
      <c r="D446" s="23"/>
      <c r="E446" s="20"/>
      <c r="F446" s="20"/>
      <c r="G446" s="20"/>
      <c r="H446" s="24">
        <f>H441+H443+H445</f>
        <v>520.79</v>
      </c>
      <c r="I446" s="24">
        <f t="shared" ref="I446:P446" si="99">I441+I443+I445</f>
        <v>585.22</v>
      </c>
      <c r="J446" s="24">
        <f t="shared" si="99"/>
        <v>1837</v>
      </c>
      <c r="K446" s="24">
        <f t="shared" si="99"/>
        <v>1911</v>
      </c>
      <c r="L446" s="24">
        <f t="shared" si="99"/>
        <v>428.08</v>
      </c>
      <c r="M446" s="24">
        <f t="shared" si="99"/>
        <v>346.94</v>
      </c>
      <c r="N446" s="24">
        <f t="shared" si="99"/>
        <v>480</v>
      </c>
      <c r="O446" s="24">
        <f t="shared" si="99"/>
        <v>480</v>
      </c>
      <c r="P446" s="215">
        <f t="shared" si="99"/>
        <v>480</v>
      </c>
    </row>
    <row r="447" spans="1:16" ht="15" hidden="1" customHeight="1" outlineLevel="1" x14ac:dyDescent="0.25">
      <c r="A447" s="39" t="s">
        <v>11</v>
      </c>
      <c r="B447" s="46" t="s">
        <v>545</v>
      </c>
      <c r="C447" s="246"/>
      <c r="D447" s="23" t="s">
        <v>26</v>
      </c>
      <c r="E447" s="20" t="s">
        <v>213</v>
      </c>
      <c r="F447" s="20" t="s">
        <v>238</v>
      </c>
      <c r="G447" s="20" t="s">
        <v>27</v>
      </c>
      <c r="H447" s="24">
        <f>291.72+35.28</f>
        <v>327</v>
      </c>
      <c r="I447" s="24">
        <v>34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f t="shared" si="94"/>
        <v>0</v>
      </c>
      <c r="P447" s="215">
        <f t="shared" si="95"/>
        <v>0</v>
      </c>
    </row>
    <row r="448" spans="1:16" ht="15" hidden="1" customHeight="1" outlineLevel="1" x14ac:dyDescent="0.25">
      <c r="A448" s="39" t="s">
        <v>11</v>
      </c>
      <c r="B448" s="46" t="s">
        <v>545</v>
      </c>
      <c r="C448" s="246"/>
      <c r="D448" s="23" t="s">
        <v>26</v>
      </c>
      <c r="E448" s="20" t="s">
        <v>217</v>
      </c>
      <c r="F448" s="20" t="s">
        <v>238</v>
      </c>
      <c r="G448" s="20" t="s">
        <v>27</v>
      </c>
      <c r="H448" s="24">
        <f>51.48+6.22</f>
        <v>57.699999999999996</v>
      </c>
      <c r="I448" s="24">
        <v>6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f t="shared" si="94"/>
        <v>0</v>
      </c>
      <c r="P448" s="215">
        <f t="shared" si="95"/>
        <v>0</v>
      </c>
    </row>
    <row r="449" spans="1:16" ht="15" hidden="1" customHeight="1" outlineLevel="1" x14ac:dyDescent="0.25">
      <c r="A449" s="39"/>
      <c r="B449" s="46"/>
      <c r="C449" s="246"/>
      <c r="D449" s="23" t="s">
        <v>26</v>
      </c>
      <c r="E449" s="20" t="s">
        <v>17</v>
      </c>
      <c r="F449" s="20" t="s">
        <v>238</v>
      </c>
      <c r="G449" s="20" t="s">
        <v>27</v>
      </c>
      <c r="H449" s="24">
        <v>80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f t="shared" si="94"/>
        <v>0</v>
      </c>
      <c r="P449" s="215">
        <f t="shared" si="95"/>
        <v>0</v>
      </c>
    </row>
    <row r="450" spans="1:16" ht="15" hidden="1" customHeight="1" outlineLevel="1" x14ac:dyDescent="0.25">
      <c r="A450" s="39" t="s">
        <v>11</v>
      </c>
      <c r="B450" s="46" t="s">
        <v>545</v>
      </c>
      <c r="C450" s="246"/>
      <c r="D450" s="23"/>
      <c r="E450" s="20"/>
      <c r="F450" s="20"/>
      <c r="G450" s="20" t="s">
        <v>554</v>
      </c>
      <c r="H450" s="24">
        <f>SUM(H447:H449)</f>
        <v>464.7</v>
      </c>
      <c r="I450" s="24">
        <f t="shared" ref="I450:P450" si="100">SUM(I447:I449)</f>
        <v>40</v>
      </c>
      <c r="J450" s="24">
        <f t="shared" si="100"/>
        <v>0</v>
      </c>
      <c r="K450" s="24">
        <f t="shared" si="100"/>
        <v>0</v>
      </c>
      <c r="L450" s="24">
        <f t="shared" si="100"/>
        <v>0</v>
      </c>
      <c r="M450" s="24">
        <f t="shared" si="100"/>
        <v>0</v>
      </c>
      <c r="N450" s="24">
        <f t="shared" si="100"/>
        <v>0</v>
      </c>
      <c r="O450" s="24">
        <f t="shared" si="100"/>
        <v>0</v>
      </c>
      <c r="P450" s="215">
        <f t="shared" si="100"/>
        <v>0</v>
      </c>
    </row>
    <row r="451" spans="1:16" ht="15" hidden="1" customHeight="1" outlineLevel="1" x14ac:dyDescent="0.25">
      <c r="A451" s="39" t="s">
        <v>11</v>
      </c>
      <c r="B451" s="46" t="s">
        <v>545</v>
      </c>
      <c r="C451" s="246"/>
      <c r="D451" s="23" t="s">
        <v>29</v>
      </c>
      <c r="E451" s="20" t="s">
        <v>213</v>
      </c>
      <c r="F451" s="20" t="s">
        <v>238</v>
      </c>
      <c r="G451" s="20" t="s">
        <v>30</v>
      </c>
      <c r="H451" s="24">
        <f>88.52+9.7</f>
        <v>98.22</v>
      </c>
      <c r="I451" s="24">
        <v>64.87</v>
      </c>
      <c r="J451" s="24">
        <v>100</v>
      </c>
      <c r="K451" s="24">
        <v>100</v>
      </c>
      <c r="L451" s="24">
        <f>M451+800*0.014</f>
        <v>52.480000000000004</v>
      </c>
      <c r="M451" s="24">
        <v>41.28</v>
      </c>
      <c r="N451" s="24">
        <v>67</v>
      </c>
      <c r="O451" s="24">
        <f t="shared" si="94"/>
        <v>67</v>
      </c>
      <c r="P451" s="215">
        <f t="shared" si="95"/>
        <v>67</v>
      </c>
    </row>
    <row r="452" spans="1:16" ht="15" hidden="1" customHeight="1" outlineLevel="1" x14ac:dyDescent="0.25">
      <c r="A452" s="39" t="s">
        <v>11</v>
      </c>
      <c r="B452" s="46" t="s">
        <v>545</v>
      </c>
      <c r="C452" s="246"/>
      <c r="D452" s="23" t="s">
        <v>29</v>
      </c>
      <c r="E452" s="20" t="s">
        <v>217</v>
      </c>
      <c r="F452" s="20" t="s">
        <v>238</v>
      </c>
      <c r="G452" s="20" t="s">
        <v>30</v>
      </c>
      <c r="H452" s="24">
        <f>15.62+1.71</f>
        <v>17.329999999999998</v>
      </c>
      <c r="I452" s="24">
        <v>11.45</v>
      </c>
      <c r="J452" s="24">
        <v>17</v>
      </c>
      <c r="K452" s="24">
        <v>17</v>
      </c>
      <c r="L452" s="24">
        <f>M452</f>
        <v>7.28</v>
      </c>
      <c r="M452" s="24">
        <v>7.28</v>
      </c>
      <c r="N452" s="24">
        <v>0</v>
      </c>
      <c r="O452" s="24">
        <f t="shared" si="94"/>
        <v>0</v>
      </c>
      <c r="P452" s="215">
        <f t="shared" si="95"/>
        <v>0</v>
      </c>
    </row>
    <row r="453" spans="1:16" ht="15" hidden="1" customHeight="1" outlineLevel="1" x14ac:dyDescent="0.25">
      <c r="A453" s="39"/>
      <c r="B453" s="46"/>
      <c r="C453" s="246"/>
      <c r="D453" s="23" t="s">
        <v>29</v>
      </c>
      <c r="E453" s="20" t="s">
        <v>17</v>
      </c>
      <c r="F453" s="20" t="s">
        <v>238</v>
      </c>
      <c r="G453" s="20" t="s">
        <v>30</v>
      </c>
      <c r="H453" s="24">
        <v>22.4</v>
      </c>
      <c r="I453" s="24">
        <v>11.2</v>
      </c>
      <c r="J453" s="24">
        <v>23</v>
      </c>
      <c r="K453" s="24">
        <v>23</v>
      </c>
      <c r="L453" s="24">
        <v>0</v>
      </c>
      <c r="M453" s="24">
        <v>0</v>
      </c>
      <c r="N453" s="24"/>
      <c r="O453" s="24">
        <f t="shared" si="94"/>
        <v>0</v>
      </c>
      <c r="P453" s="215">
        <f t="shared" si="95"/>
        <v>0</v>
      </c>
    </row>
    <row r="454" spans="1:16" ht="15" hidden="1" customHeight="1" outlineLevel="1" x14ac:dyDescent="0.25">
      <c r="A454" s="39" t="s">
        <v>11</v>
      </c>
      <c r="B454" s="46" t="s">
        <v>545</v>
      </c>
      <c r="C454" s="246"/>
      <c r="D454" s="23"/>
      <c r="E454" s="20"/>
      <c r="F454" s="20"/>
      <c r="G454" s="20" t="s">
        <v>554</v>
      </c>
      <c r="H454" s="24">
        <f>SUM(H451:H453)</f>
        <v>137.94999999999999</v>
      </c>
      <c r="I454" s="24">
        <f t="shared" ref="I454:P454" si="101">SUM(I451:I453)</f>
        <v>87.52000000000001</v>
      </c>
      <c r="J454" s="24">
        <f t="shared" si="101"/>
        <v>140</v>
      </c>
      <c r="K454" s="24">
        <f t="shared" si="101"/>
        <v>140</v>
      </c>
      <c r="L454" s="24">
        <f t="shared" si="101"/>
        <v>59.760000000000005</v>
      </c>
      <c r="M454" s="24">
        <f t="shared" si="101"/>
        <v>48.56</v>
      </c>
      <c r="N454" s="24">
        <f t="shared" si="101"/>
        <v>67</v>
      </c>
      <c r="O454" s="24">
        <f t="shared" si="101"/>
        <v>67</v>
      </c>
      <c r="P454" s="215">
        <f t="shared" si="101"/>
        <v>67</v>
      </c>
    </row>
    <row r="455" spans="1:16" ht="15" hidden="1" customHeight="1" outlineLevel="1" x14ac:dyDescent="0.25">
      <c r="A455" s="39" t="s">
        <v>11</v>
      </c>
      <c r="B455" s="46" t="s">
        <v>545</v>
      </c>
      <c r="C455" s="246"/>
      <c r="D455" s="23" t="s">
        <v>32</v>
      </c>
      <c r="E455" s="20" t="s">
        <v>213</v>
      </c>
      <c r="F455" s="20" t="s">
        <v>238</v>
      </c>
      <c r="G455" s="20" t="s">
        <v>34</v>
      </c>
      <c r="H455" s="24">
        <f>885.35+96.99</f>
        <v>982.34</v>
      </c>
      <c r="I455" s="24">
        <v>648.82000000000005</v>
      </c>
      <c r="J455" s="24">
        <v>996</v>
      </c>
      <c r="K455" s="24">
        <v>996</v>
      </c>
      <c r="L455" s="24">
        <f>M455+800*0.14</f>
        <v>524.85</v>
      </c>
      <c r="M455" s="24">
        <v>412.85</v>
      </c>
      <c r="N455" s="24">
        <v>672</v>
      </c>
      <c r="O455" s="24">
        <f t="shared" si="94"/>
        <v>672</v>
      </c>
      <c r="P455" s="215">
        <f t="shared" si="95"/>
        <v>672</v>
      </c>
    </row>
    <row r="456" spans="1:16" ht="15" hidden="1" customHeight="1" outlineLevel="1" x14ac:dyDescent="0.25">
      <c r="A456" s="39" t="s">
        <v>11</v>
      </c>
      <c r="B456" s="46" t="s">
        <v>545</v>
      </c>
      <c r="C456" s="246"/>
      <c r="D456" s="23" t="s">
        <v>32</v>
      </c>
      <c r="E456" s="20" t="s">
        <v>217</v>
      </c>
      <c r="F456" s="20" t="s">
        <v>238</v>
      </c>
      <c r="G456" s="20" t="s">
        <v>34</v>
      </c>
      <c r="H456" s="24">
        <f>156.24+17.11</f>
        <v>173.35000000000002</v>
      </c>
      <c r="I456" s="24">
        <v>114.5</v>
      </c>
      <c r="J456" s="24">
        <v>176</v>
      </c>
      <c r="K456" s="24">
        <v>176</v>
      </c>
      <c r="L456" s="24">
        <f>M456</f>
        <v>72.87</v>
      </c>
      <c r="M456" s="24">
        <v>72.87</v>
      </c>
      <c r="N456" s="24">
        <v>0</v>
      </c>
      <c r="O456" s="24">
        <f t="shared" si="94"/>
        <v>0</v>
      </c>
      <c r="P456" s="215">
        <f t="shared" si="95"/>
        <v>0</v>
      </c>
    </row>
    <row r="457" spans="1:16" ht="15" hidden="1" customHeight="1" outlineLevel="1" x14ac:dyDescent="0.25">
      <c r="A457" s="39"/>
      <c r="B457" s="46"/>
      <c r="C457" s="246"/>
      <c r="D457" s="23" t="s">
        <v>32</v>
      </c>
      <c r="E457" s="20" t="s">
        <v>17</v>
      </c>
      <c r="F457" s="20" t="s">
        <v>238</v>
      </c>
      <c r="G457" s="20" t="s">
        <v>34</v>
      </c>
      <c r="H457" s="24">
        <v>224</v>
      </c>
      <c r="I457" s="24">
        <v>112</v>
      </c>
      <c r="J457" s="24">
        <v>234</v>
      </c>
      <c r="K457" s="24">
        <v>234</v>
      </c>
      <c r="L457" s="24">
        <v>0</v>
      </c>
      <c r="M457" s="24">
        <v>0</v>
      </c>
      <c r="N457" s="24"/>
      <c r="O457" s="24">
        <f t="shared" si="94"/>
        <v>0</v>
      </c>
      <c r="P457" s="215">
        <f t="shared" si="95"/>
        <v>0</v>
      </c>
    </row>
    <row r="458" spans="1:16" ht="15" hidden="1" customHeight="1" outlineLevel="1" x14ac:dyDescent="0.25">
      <c r="A458" s="39" t="s">
        <v>11</v>
      </c>
      <c r="B458" s="46" t="s">
        <v>545</v>
      </c>
      <c r="C458" s="246"/>
      <c r="D458" s="23"/>
      <c r="E458" s="20"/>
      <c r="F458" s="20"/>
      <c r="G458" s="20" t="s">
        <v>554</v>
      </c>
      <c r="H458" s="24">
        <f>SUM(H455:H457)</f>
        <v>1379.69</v>
      </c>
      <c r="I458" s="24">
        <f t="shared" ref="I458:P458" si="102">SUM(I455:I457)</f>
        <v>875.32</v>
      </c>
      <c r="J458" s="24">
        <f t="shared" si="102"/>
        <v>1406</v>
      </c>
      <c r="K458" s="24">
        <f t="shared" si="102"/>
        <v>1406</v>
      </c>
      <c r="L458" s="24">
        <f t="shared" si="102"/>
        <v>597.72</v>
      </c>
      <c r="M458" s="24">
        <f t="shared" si="102"/>
        <v>485.72</v>
      </c>
      <c r="N458" s="24">
        <f t="shared" si="102"/>
        <v>672</v>
      </c>
      <c r="O458" s="24">
        <f t="shared" si="102"/>
        <v>672</v>
      </c>
      <c r="P458" s="215">
        <f t="shared" si="102"/>
        <v>672</v>
      </c>
    </row>
    <row r="459" spans="1:16" ht="15" hidden="1" customHeight="1" outlineLevel="1" x14ac:dyDescent="0.25">
      <c r="A459" s="39" t="s">
        <v>11</v>
      </c>
      <c r="B459" s="46" t="s">
        <v>545</v>
      </c>
      <c r="C459" s="246"/>
      <c r="D459" s="23" t="s">
        <v>36</v>
      </c>
      <c r="E459" s="20" t="s">
        <v>213</v>
      </c>
      <c r="F459" s="20" t="s">
        <v>238</v>
      </c>
      <c r="G459" s="20" t="s">
        <v>38</v>
      </c>
      <c r="H459" s="24">
        <f>50.58+5.54</f>
        <v>56.12</v>
      </c>
      <c r="I459" s="24">
        <v>37.1</v>
      </c>
      <c r="J459" s="24">
        <v>57</v>
      </c>
      <c r="K459" s="24">
        <v>57</v>
      </c>
      <c r="L459" s="24">
        <f>M459+800*0.008</f>
        <v>29.97</v>
      </c>
      <c r="M459" s="24">
        <v>23.57</v>
      </c>
      <c r="N459" s="24">
        <v>38</v>
      </c>
      <c r="O459" s="24">
        <f t="shared" si="94"/>
        <v>38</v>
      </c>
      <c r="P459" s="215">
        <f t="shared" si="95"/>
        <v>38</v>
      </c>
    </row>
    <row r="460" spans="1:16" ht="15" hidden="1" customHeight="1" outlineLevel="1" x14ac:dyDescent="0.25">
      <c r="A460" s="39" t="s">
        <v>11</v>
      </c>
      <c r="B460" s="46" t="s">
        <v>545</v>
      </c>
      <c r="C460" s="246"/>
      <c r="D460" s="23" t="s">
        <v>36</v>
      </c>
      <c r="E460" s="20" t="s">
        <v>217</v>
      </c>
      <c r="F460" s="20" t="s">
        <v>238</v>
      </c>
      <c r="G460" s="20" t="s">
        <v>38</v>
      </c>
      <c r="H460" s="24">
        <f>8.93+0.98</f>
        <v>9.91</v>
      </c>
      <c r="I460" s="24">
        <v>6.51</v>
      </c>
      <c r="J460" s="24">
        <v>10</v>
      </c>
      <c r="K460" s="24">
        <v>10</v>
      </c>
      <c r="L460" s="24">
        <f>M460</f>
        <v>4.17</v>
      </c>
      <c r="M460" s="24">
        <v>4.17</v>
      </c>
      <c r="N460" s="24">
        <v>0</v>
      </c>
      <c r="O460" s="24">
        <f t="shared" si="94"/>
        <v>0</v>
      </c>
      <c r="P460" s="215">
        <f t="shared" si="95"/>
        <v>0</v>
      </c>
    </row>
    <row r="461" spans="1:16" ht="15" hidden="1" customHeight="1" outlineLevel="1" x14ac:dyDescent="0.25">
      <c r="A461" s="39"/>
      <c r="B461" s="46"/>
      <c r="C461" s="246"/>
      <c r="D461" s="23" t="s">
        <v>36</v>
      </c>
      <c r="E461" s="20" t="s">
        <v>17</v>
      </c>
      <c r="F461" s="20" t="s">
        <v>238</v>
      </c>
      <c r="G461" s="20" t="s">
        <v>38</v>
      </c>
      <c r="H461" s="24">
        <v>12.8</v>
      </c>
      <c r="I461" s="24">
        <v>6.4</v>
      </c>
      <c r="J461" s="24">
        <v>13</v>
      </c>
      <c r="K461" s="24">
        <v>13</v>
      </c>
      <c r="L461" s="24">
        <v>0</v>
      </c>
      <c r="M461" s="24">
        <v>0</v>
      </c>
      <c r="N461" s="24"/>
      <c r="O461" s="24">
        <f t="shared" si="94"/>
        <v>0</v>
      </c>
      <c r="P461" s="215">
        <f t="shared" si="95"/>
        <v>0</v>
      </c>
    </row>
    <row r="462" spans="1:16" ht="15" hidden="1" customHeight="1" outlineLevel="1" x14ac:dyDescent="0.25">
      <c r="A462" s="39" t="s">
        <v>11</v>
      </c>
      <c r="B462" s="46" t="s">
        <v>545</v>
      </c>
      <c r="C462" s="246"/>
      <c r="D462" s="23"/>
      <c r="E462" s="20"/>
      <c r="F462" s="20"/>
      <c r="G462" s="20" t="s">
        <v>554</v>
      </c>
      <c r="H462" s="24">
        <f>SUM(H459:H461)</f>
        <v>78.83</v>
      </c>
      <c r="I462" s="24">
        <f t="shared" ref="I462:P462" si="103">SUM(I459:I461)</f>
        <v>50.01</v>
      </c>
      <c r="J462" s="24">
        <f t="shared" si="103"/>
        <v>80</v>
      </c>
      <c r="K462" s="24">
        <f t="shared" si="103"/>
        <v>80</v>
      </c>
      <c r="L462" s="24">
        <f t="shared" si="103"/>
        <v>34.14</v>
      </c>
      <c r="M462" s="24">
        <f t="shared" si="103"/>
        <v>27.740000000000002</v>
      </c>
      <c r="N462" s="24">
        <f t="shared" si="103"/>
        <v>38</v>
      </c>
      <c r="O462" s="24">
        <f t="shared" si="103"/>
        <v>38</v>
      </c>
      <c r="P462" s="215">
        <f t="shared" si="103"/>
        <v>38</v>
      </c>
    </row>
    <row r="463" spans="1:16" ht="15" hidden="1" customHeight="1" outlineLevel="1" x14ac:dyDescent="0.25">
      <c r="A463" s="39" t="s">
        <v>11</v>
      </c>
      <c r="B463" s="46" t="s">
        <v>545</v>
      </c>
      <c r="C463" s="246"/>
      <c r="D463" s="23" t="s">
        <v>40</v>
      </c>
      <c r="E463" s="20" t="s">
        <v>213</v>
      </c>
      <c r="F463" s="20" t="s">
        <v>238</v>
      </c>
      <c r="G463" s="20" t="s">
        <v>42</v>
      </c>
      <c r="H463" s="24">
        <f>189.71+20.78</f>
        <v>210.49</v>
      </c>
      <c r="I463" s="24">
        <v>139.02000000000001</v>
      </c>
      <c r="J463" s="24">
        <v>213</v>
      </c>
      <c r="K463" s="24">
        <v>213</v>
      </c>
      <c r="L463" s="24">
        <f>M463+800*0.03</f>
        <v>112.46</v>
      </c>
      <c r="M463" s="24">
        <v>88.46</v>
      </c>
      <c r="N463" s="24">
        <v>144</v>
      </c>
      <c r="O463" s="24">
        <f t="shared" ref="O463:O491" si="104">N463</f>
        <v>144</v>
      </c>
      <c r="P463" s="215">
        <f t="shared" ref="P463:P491" si="105">N463</f>
        <v>144</v>
      </c>
    </row>
    <row r="464" spans="1:16" ht="15" hidden="1" customHeight="1" outlineLevel="1" x14ac:dyDescent="0.25">
      <c r="A464" s="39" t="s">
        <v>11</v>
      </c>
      <c r="B464" s="46" t="s">
        <v>545</v>
      </c>
      <c r="C464" s="246"/>
      <c r="D464" s="23" t="s">
        <v>40</v>
      </c>
      <c r="E464" s="20" t="s">
        <v>217</v>
      </c>
      <c r="F464" s="20" t="s">
        <v>238</v>
      </c>
      <c r="G464" s="20" t="s">
        <v>42</v>
      </c>
      <c r="H464" s="24">
        <f>33.48+3.67</f>
        <v>37.15</v>
      </c>
      <c r="I464" s="24">
        <v>24.54</v>
      </c>
      <c r="J464" s="24">
        <v>38</v>
      </c>
      <c r="K464" s="24">
        <v>38</v>
      </c>
      <c r="L464" s="24">
        <f>M464</f>
        <v>15.62</v>
      </c>
      <c r="M464" s="24">
        <v>15.62</v>
      </c>
      <c r="N464" s="24">
        <v>0</v>
      </c>
      <c r="O464" s="24">
        <f t="shared" si="104"/>
        <v>0</v>
      </c>
      <c r="P464" s="215">
        <f t="shared" si="105"/>
        <v>0</v>
      </c>
    </row>
    <row r="465" spans="1:16" ht="15" hidden="1" customHeight="1" outlineLevel="1" x14ac:dyDescent="0.25">
      <c r="A465" s="39"/>
      <c r="B465" s="46"/>
      <c r="C465" s="246"/>
      <c r="D465" s="23" t="s">
        <v>40</v>
      </c>
      <c r="E465" s="20" t="s">
        <v>17</v>
      </c>
      <c r="F465" s="20" t="s">
        <v>238</v>
      </c>
      <c r="G465" s="20" t="s">
        <v>42</v>
      </c>
      <c r="H465" s="24">
        <v>48</v>
      </c>
      <c r="I465" s="24">
        <v>24</v>
      </c>
      <c r="J465" s="24">
        <v>50</v>
      </c>
      <c r="K465" s="24">
        <v>50</v>
      </c>
      <c r="L465" s="24">
        <v>0</v>
      </c>
      <c r="M465" s="24">
        <v>0</v>
      </c>
      <c r="N465" s="24"/>
      <c r="O465" s="24">
        <f t="shared" si="104"/>
        <v>0</v>
      </c>
      <c r="P465" s="215">
        <f t="shared" si="105"/>
        <v>0</v>
      </c>
    </row>
    <row r="466" spans="1:16" ht="15" hidden="1" customHeight="1" outlineLevel="1" x14ac:dyDescent="0.25">
      <c r="A466" s="39" t="s">
        <v>11</v>
      </c>
      <c r="B466" s="46" t="s">
        <v>545</v>
      </c>
      <c r="C466" s="246"/>
      <c r="D466" s="23"/>
      <c r="E466" s="20"/>
      <c r="F466" s="20"/>
      <c r="G466" s="20" t="s">
        <v>554</v>
      </c>
      <c r="H466" s="24">
        <f>SUM(H463:H465)</f>
        <v>295.64</v>
      </c>
      <c r="I466" s="24">
        <f t="shared" ref="I466:P466" si="106">SUM(I463:I465)</f>
        <v>187.56</v>
      </c>
      <c r="J466" s="24">
        <f t="shared" si="106"/>
        <v>301</v>
      </c>
      <c r="K466" s="24">
        <f t="shared" si="106"/>
        <v>301</v>
      </c>
      <c r="L466" s="24">
        <f t="shared" si="106"/>
        <v>128.07999999999998</v>
      </c>
      <c r="M466" s="24">
        <f t="shared" si="106"/>
        <v>104.08</v>
      </c>
      <c r="N466" s="24">
        <f t="shared" si="106"/>
        <v>144</v>
      </c>
      <c r="O466" s="24">
        <f t="shared" si="106"/>
        <v>144</v>
      </c>
      <c r="P466" s="215">
        <f t="shared" si="106"/>
        <v>144</v>
      </c>
    </row>
    <row r="467" spans="1:16" ht="15" hidden="1" customHeight="1" outlineLevel="1" x14ac:dyDescent="0.25">
      <c r="A467" s="39" t="s">
        <v>11</v>
      </c>
      <c r="B467" s="46" t="s">
        <v>545</v>
      </c>
      <c r="C467" s="246"/>
      <c r="D467" s="23" t="s">
        <v>44</v>
      </c>
      <c r="E467" s="20" t="s">
        <v>213</v>
      </c>
      <c r="F467" s="20" t="s">
        <v>238</v>
      </c>
      <c r="G467" s="20" t="s">
        <v>46</v>
      </c>
      <c r="H467" s="24">
        <f>63.23+6.93</f>
        <v>70.16</v>
      </c>
      <c r="I467" s="24">
        <v>46.34</v>
      </c>
      <c r="J467" s="24">
        <v>71</v>
      </c>
      <c r="K467" s="24">
        <v>71</v>
      </c>
      <c r="L467" s="24">
        <f>M467+800*0.01</f>
        <v>37.489999999999995</v>
      </c>
      <c r="M467" s="24">
        <v>29.49</v>
      </c>
      <c r="N467" s="24">
        <v>48</v>
      </c>
      <c r="O467" s="24">
        <f t="shared" si="104"/>
        <v>48</v>
      </c>
      <c r="P467" s="215">
        <f t="shared" si="105"/>
        <v>48</v>
      </c>
    </row>
    <row r="468" spans="1:16" ht="15" hidden="1" customHeight="1" outlineLevel="1" x14ac:dyDescent="0.25">
      <c r="A468" s="39" t="s">
        <v>11</v>
      </c>
      <c r="B468" s="46" t="s">
        <v>545</v>
      </c>
      <c r="C468" s="246"/>
      <c r="D468" s="23" t="s">
        <v>44</v>
      </c>
      <c r="E468" s="20" t="s">
        <v>217</v>
      </c>
      <c r="F468" s="20" t="s">
        <v>238</v>
      </c>
      <c r="G468" s="20" t="s">
        <v>46</v>
      </c>
      <c r="H468" s="24">
        <f>11.16+1.22</f>
        <v>12.38</v>
      </c>
      <c r="I468" s="24">
        <v>8.17</v>
      </c>
      <c r="J468" s="24">
        <v>12</v>
      </c>
      <c r="K468" s="24">
        <v>12</v>
      </c>
      <c r="L468" s="24">
        <f>M468</f>
        <v>5.2</v>
      </c>
      <c r="M468" s="24">
        <v>5.2</v>
      </c>
      <c r="N468" s="24">
        <v>0</v>
      </c>
      <c r="O468" s="24">
        <f t="shared" si="104"/>
        <v>0</v>
      </c>
      <c r="P468" s="215">
        <f t="shared" si="105"/>
        <v>0</v>
      </c>
    </row>
    <row r="469" spans="1:16" ht="15" hidden="1" customHeight="1" outlineLevel="1" x14ac:dyDescent="0.25">
      <c r="A469" s="39"/>
      <c r="B469" s="46"/>
      <c r="C469" s="246"/>
      <c r="D469" s="23" t="s">
        <v>44</v>
      </c>
      <c r="E469" s="20" t="s">
        <v>17</v>
      </c>
      <c r="F469" s="20" t="s">
        <v>238</v>
      </c>
      <c r="G469" s="20" t="s">
        <v>46</v>
      </c>
      <c r="H469" s="24">
        <v>16</v>
      </c>
      <c r="I469" s="24">
        <v>8</v>
      </c>
      <c r="J469" s="24">
        <v>17</v>
      </c>
      <c r="K469" s="24">
        <v>17</v>
      </c>
      <c r="L469" s="24">
        <v>0</v>
      </c>
      <c r="M469" s="24">
        <v>0</v>
      </c>
      <c r="N469" s="24"/>
      <c r="O469" s="24">
        <f t="shared" si="104"/>
        <v>0</v>
      </c>
      <c r="P469" s="215">
        <f t="shared" si="105"/>
        <v>0</v>
      </c>
    </row>
    <row r="470" spans="1:16" ht="15" hidden="1" customHeight="1" outlineLevel="1" x14ac:dyDescent="0.25">
      <c r="A470" s="39" t="s">
        <v>11</v>
      </c>
      <c r="B470" s="46" t="s">
        <v>545</v>
      </c>
      <c r="C470" s="246"/>
      <c r="D470" s="23"/>
      <c r="E470" s="20"/>
      <c r="F470" s="20"/>
      <c r="G470" s="20" t="s">
        <v>554</v>
      </c>
      <c r="H470" s="24">
        <f>SUM(H467:H469)</f>
        <v>98.539999999999992</v>
      </c>
      <c r="I470" s="24">
        <f t="shared" ref="I470:P470" si="107">SUM(I467:I469)</f>
        <v>62.510000000000005</v>
      </c>
      <c r="J470" s="24">
        <f t="shared" si="107"/>
        <v>100</v>
      </c>
      <c r="K470" s="24">
        <f t="shared" si="107"/>
        <v>100</v>
      </c>
      <c r="L470" s="24">
        <f t="shared" si="107"/>
        <v>42.69</v>
      </c>
      <c r="M470" s="24">
        <f t="shared" si="107"/>
        <v>34.69</v>
      </c>
      <c r="N470" s="24">
        <f t="shared" si="107"/>
        <v>48</v>
      </c>
      <c r="O470" s="24">
        <f t="shared" si="107"/>
        <v>48</v>
      </c>
      <c r="P470" s="215">
        <f t="shared" si="107"/>
        <v>48</v>
      </c>
    </row>
    <row r="471" spans="1:16" ht="15" hidden="1" customHeight="1" outlineLevel="1" x14ac:dyDescent="0.25">
      <c r="A471" s="39" t="s">
        <v>11</v>
      </c>
      <c r="B471" s="46" t="s">
        <v>545</v>
      </c>
      <c r="C471" s="246"/>
      <c r="D471" s="23" t="s">
        <v>48</v>
      </c>
      <c r="E471" s="20" t="s">
        <v>213</v>
      </c>
      <c r="F471" s="20" t="s">
        <v>238</v>
      </c>
      <c r="G471" s="20" t="s">
        <v>50</v>
      </c>
      <c r="H471" s="24">
        <f>300.38+32.9</f>
        <v>333.28</v>
      </c>
      <c r="I471" s="24">
        <v>220.14</v>
      </c>
      <c r="J471" s="24">
        <v>338</v>
      </c>
      <c r="K471" s="24">
        <v>338</v>
      </c>
      <c r="L471" s="24">
        <f>M471+800*0.0475</f>
        <v>178.08</v>
      </c>
      <c r="M471" s="24">
        <v>140.08000000000001</v>
      </c>
      <c r="N471" s="24">
        <v>229</v>
      </c>
      <c r="O471" s="24">
        <f t="shared" si="104"/>
        <v>229</v>
      </c>
      <c r="P471" s="215">
        <f t="shared" si="105"/>
        <v>229</v>
      </c>
    </row>
    <row r="472" spans="1:16" ht="15" hidden="1" customHeight="1" outlineLevel="1" x14ac:dyDescent="0.25">
      <c r="A472" s="39" t="s">
        <v>11</v>
      </c>
      <c r="B472" s="46" t="s">
        <v>545</v>
      </c>
      <c r="C472" s="246"/>
      <c r="D472" s="23" t="s">
        <v>48</v>
      </c>
      <c r="E472" s="20" t="s">
        <v>217</v>
      </c>
      <c r="F472" s="20" t="s">
        <v>238</v>
      </c>
      <c r="G472" s="20" t="s">
        <v>50</v>
      </c>
      <c r="H472" s="24">
        <f>53.01+5.81</f>
        <v>58.82</v>
      </c>
      <c r="I472" s="24">
        <v>38.840000000000003</v>
      </c>
      <c r="J472" s="24">
        <v>59</v>
      </c>
      <c r="K472" s="24">
        <v>59</v>
      </c>
      <c r="L472" s="24">
        <f>M472</f>
        <v>24.71</v>
      </c>
      <c r="M472" s="24">
        <v>24.71</v>
      </c>
      <c r="N472" s="24">
        <v>0</v>
      </c>
      <c r="O472" s="24">
        <f t="shared" si="104"/>
        <v>0</v>
      </c>
      <c r="P472" s="215">
        <f t="shared" si="105"/>
        <v>0</v>
      </c>
    </row>
    <row r="473" spans="1:16" ht="15" hidden="1" customHeight="1" outlineLevel="1" x14ac:dyDescent="0.25">
      <c r="A473" s="39"/>
      <c r="B473" s="46"/>
      <c r="C473" s="246"/>
      <c r="D473" s="23" t="s">
        <v>48</v>
      </c>
      <c r="E473" s="20" t="s">
        <v>17</v>
      </c>
      <c r="F473" s="20" t="s">
        <v>238</v>
      </c>
      <c r="G473" s="20" t="s">
        <v>50</v>
      </c>
      <c r="H473" s="24">
        <v>76</v>
      </c>
      <c r="I473" s="24">
        <v>38</v>
      </c>
      <c r="J473" s="24">
        <v>80</v>
      </c>
      <c r="K473" s="24">
        <v>80</v>
      </c>
      <c r="L473" s="24">
        <v>0</v>
      </c>
      <c r="M473" s="24">
        <v>0</v>
      </c>
      <c r="N473" s="24"/>
      <c r="O473" s="24">
        <f t="shared" si="104"/>
        <v>0</v>
      </c>
      <c r="P473" s="215">
        <f t="shared" si="105"/>
        <v>0</v>
      </c>
    </row>
    <row r="474" spans="1:16" ht="15" hidden="1" customHeight="1" outlineLevel="1" x14ac:dyDescent="0.25">
      <c r="A474" s="39"/>
      <c r="B474" s="46"/>
      <c r="C474" s="246"/>
      <c r="D474" s="23" t="s">
        <v>469</v>
      </c>
      <c r="E474" s="20"/>
      <c r="F474" s="20"/>
      <c r="G474" s="20" t="s">
        <v>472</v>
      </c>
      <c r="H474" s="24">
        <f>H471+H472+H473</f>
        <v>468.09999999999997</v>
      </c>
      <c r="I474" s="24">
        <f t="shared" ref="I474:P474" si="108">SUM(I471:I473)</f>
        <v>296.98</v>
      </c>
      <c r="J474" s="24">
        <f t="shared" si="108"/>
        <v>477</v>
      </c>
      <c r="K474" s="24">
        <f t="shared" si="108"/>
        <v>477</v>
      </c>
      <c r="L474" s="24">
        <f t="shared" si="108"/>
        <v>202.79000000000002</v>
      </c>
      <c r="M474" s="24">
        <f t="shared" si="108"/>
        <v>164.79000000000002</v>
      </c>
      <c r="N474" s="24">
        <f t="shared" si="108"/>
        <v>229</v>
      </c>
      <c r="O474" s="24">
        <f t="shared" si="108"/>
        <v>229</v>
      </c>
      <c r="P474" s="215">
        <f t="shared" si="108"/>
        <v>229</v>
      </c>
    </row>
    <row r="475" spans="1:16" hidden="1" outlineLevel="1" x14ac:dyDescent="0.25">
      <c r="A475" s="39" t="s">
        <v>11</v>
      </c>
      <c r="B475" s="46" t="s">
        <v>545</v>
      </c>
      <c r="C475" s="246"/>
      <c r="D475" s="23" t="s">
        <v>469</v>
      </c>
      <c r="E475" s="20"/>
      <c r="F475" s="20"/>
      <c r="G475" s="20" t="s">
        <v>472</v>
      </c>
      <c r="H475" s="24">
        <f>H474+H470+H466+H462+H458+H454+H450+H446</f>
        <v>3444.24</v>
      </c>
      <c r="I475" s="24">
        <f t="shared" ref="I475:P475" si="109">I474+I470+I466+I462+I458+I454+I450+I446</f>
        <v>2185.12</v>
      </c>
      <c r="J475" s="24">
        <f t="shared" si="109"/>
        <v>4341</v>
      </c>
      <c r="K475" s="24">
        <f t="shared" si="109"/>
        <v>4415</v>
      </c>
      <c r="L475" s="24">
        <f t="shared" si="109"/>
        <v>1493.26</v>
      </c>
      <c r="M475" s="24">
        <f t="shared" si="109"/>
        <v>1212.52</v>
      </c>
      <c r="N475" s="24">
        <f t="shared" si="109"/>
        <v>1678</v>
      </c>
      <c r="O475" s="24">
        <f t="shared" si="109"/>
        <v>1678</v>
      </c>
      <c r="P475" s="215">
        <f t="shared" si="109"/>
        <v>1678</v>
      </c>
    </row>
    <row r="476" spans="1:16" ht="12.75" hidden="1" customHeight="1" outlineLevel="1" x14ac:dyDescent="0.25">
      <c r="A476" s="39" t="s">
        <v>11</v>
      </c>
      <c r="B476" s="46" t="s">
        <v>545</v>
      </c>
      <c r="C476" s="246"/>
      <c r="D476" s="23" t="s">
        <v>56</v>
      </c>
      <c r="E476" s="20" t="s">
        <v>17</v>
      </c>
      <c r="F476" s="20" t="s">
        <v>238</v>
      </c>
      <c r="G476" s="20" t="s">
        <v>244</v>
      </c>
      <c r="H476" s="24">
        <v>643.97</v>
      </c>
      <c r="I476" s="24">
        <v>163.30000000000001</v>
      </c>
      <c r="J476" s="24">
        <v>400</v>
      </c>
      <c r="K476" s="24">
        <v>370</v>
      </c>
      <c r="L476" s="24">
        <f t="shared" ref="L476:L488" si="110">M476/10*12</f>
        <v>81.98399999999998</v>
      </c>
      <c r="M476" s="24">
        <v>68.319999999999993</v>
      </c>
      <c r="N476" s="24">
        <v>100</v>
      </c>
      <c r="O476" s="24">
        <f t="shared" si="104"/>
        <v>100</v>
      </c>
      <c r="P476" s="215">
        <f t="shared" si="105"/>
        <v>100</v>
      </c>
    </row>
    <row r="477" spans="1:16" ht="15" hidden="1" customHeight="1" outlineLevel="1" x14ac:dyDescent="0.25">
      <c r="A477" s="39" t="s">
        <v>11</v>
      </c>
      <c r="B477" s="46" t="s">
        <v>545</v>
      </c>
      <c r="C477" s="246"/>
      <c r="D477" s="23" t="s">
        <v>74</v>
      </c>
      <c r="E477" s="20" t="s">
        <v>213</v>
      </c>
      <c r="F477" s="20" t="s">
        <v>238</v>
      </c>
      <c r="G477" s="20" t="s">
        <v>245</v>
      </c>
      <c r="H477" s="24">
        <v>0</v>
      </c>
      <c r="I477" s="24">
        <v>0</v>
      </c>
      <c r="J477" s="24">
        <v>0</v>
      </c>
      <c r="K477" s="24">
        <v>20</v>
      </c>
      <c r="L477" s="24">
        <f t="shared" si="110"/>
        <v>27.54</v>
      </c>
      <c r="M477" s="24">
        <v>22.95</v>
      </c>
      <c r="N477" s="24">
        <v>30</v>
      </c>
      <c r="O477" s="24">
        <f t="shared" si="104"/>
        <v>30</v>
      </c>
      <c r="P477" s="215">
        <f t="shared" si="105"/>
        <v>30</v>
      </c>
    </row>
    <row r="478" spans="1:16" ht="15" hidden="1" customHeight="1" outlineLevel="1" x14ac:dyDescent="0.25">
      <c r="A478" s="39"/>
      <c r="B478" s="46"/>
      <c r="C478" s="246"/>
      <c r="D478" s="23" t="s">
        <v>74</v>
      </c>
      <c r="E478" s="20" t="s">
        <v>217</v>
      </c>
      <c r="F478" s="20" t="s">
        <v>238</v>
      </c>
      <c r="G478" s="20" t="s">
        <v>245</v>
      </c>
      <c r="H478" s="24">
        <v>0</v>
      </c>
      <c r="I478" s="24">
        <v>0</v>
      </c>
      <c r="J478" s="24">
        <v>0</v>
      </c>
      <c r="K478" s="24">
        <v>10</v>
      </c>
      <c r="L478" s="24">
        <f t="shared" si="110"/>
        <v>4.8599999999999994</v>
      </c>
      <c r="M478" s="24">
        <v>4.05</v>
      </c>
      <c r="N478" s="24">
        <v>10</v>
      </c>
      <c r="O478" s="24">
        <f t="shared" si="104"/>
        <v>10</v>
      </c>
      <c r="P478" s="215">
        <f t="shared" si="105"/>
        <v>10</v>
      </c>
    </row>
    <row r="479" spans="1:16" hidden="1" outlineLevel="1" x14ac:dyDescent="0.25">
      <c r="A479" s="39" t="s">
        <v>11</v>
      </c>
      <c r="B479" s="46" t="s">
        <v>545</v>
      </c>
      <c r="C479" s="246"/>
      <c r="D479" s="23" t="s">
        <v>481</v>
      </c>
      <c r="E479" s="20"/>
      <c r="F479" s="20"/>
      <c r="G479" s="20" t="s">
        <v>567</v>
      </c>
      <c r="H479" s="24">
        <f>SUM(H476:H478)</f>
        <v>643.97</v>
      </c>
      <c r="I479" s="24">
        <f t="shared" ref="I479:P479" si="111">SUM(I476:I478)</f>
        <v>163.30000000000001</v>
      </c>
      <c r="J479" s="24">
        <f t="shared" si="111"/>
        <v>400</v>
      </c>
      <c r="K479" s="24">
        <f t="shared" si="111"/>
        <v>400</v>
      </c>
      <c r="L479" s="24">
        <f t="shared" si="111"/>
        <v>114.38399999999997</v>
      </c>
      <c r="M479" s="24">
        <f t="shared" si="111"/>
        <v>95.32</v>
      </c>
      <c r="N479" s="24">
        <f t="shared" si="111"/>
        <v>140</v>
      </c>
      <c r="O479" s="24">
        <f t="shared" si="111"/>
        <v>140</v>
      </c>
      <c r="P479" s="215">
        <f t="shared" si="111"/>
        <v>140</v>
      </c>
    </row>
    <row r="480" spans="1:16" ht="15" hidden="1" customHeight="1" outlineLevel="1" x14ac:dyDescent="0.25">
      <c r="A480" s="39" t="s">
        <v>11</v>
      </c>
      <c r="B480" s="46" t="s">
        <v>545</v>
      </c>
      <c r="C480" s="246"/>
      <c r="D480" s="23" t="s">
        <v>88</v>
      </c>
      <c r="E480" s="20" t="s">
        <v>213</v>
      </c>
      <c r="F480" s="20" t="s">
        <v>238</v>
      </c>
      <c r="G480" s="20" t="s">
        <v>92</v>
      </c>
      <c r="H480" s="24">
        <f>3178.62+2566.93</f>
        <v>5745.5499999999993</v>
      </c>
      <c r="I480" s="24">
        <v>8396.15</v>
      </c>
      <c r="J480" s="24">
        <v>7650</v>
      </c>
      <c r="K480" s="24">
        <v>6767.96</v>
      </c>
      <c r="L480" s="24">
        <f t="shared" si="110"/>
        <v>2574.3239999999996</v>
      </c>
      <c r="M480" s="24">
        <v>2145.27</v>
      </c>
      <c r="N480" s="24">
        <v>3000</v>
      </c>
      <c r="O480" s="24">
        <f t="shared" si="104"/>
        <v>3000</v>
      </c>
      <c r="P480" s="215">
        <f t="shared" si="105"/>
        <v>3000</v>
      </c>
    </row>
    <row r="481" spans="1:16" ht="15" hidden="1" customHeight="1" outlineLevel="1" x14ac:dyDescent="0.25">
      <c r="A481" s="39" t="s">
        <v>11</v>
      </c>
      <c r="B481" s="46" t="s">
        <v>545</v>
      </c>
      <c r="C481" s="246"/>
      <c r="D481" s="23" t="s">
        <v>88</v>
      </c>
      <c r="E481" s="20" t="s">
        <v>217</v>
      </c>
      <c r="F481" s="20" t="s">
        <v>238</v>
      </c>
      <c r="G481" s="20" t="s">
        <v>92</v>
      </c>
      <c r="H481" s="24">
        <v>497.5</v>
      </c>
      <c r="I481" s="24">
        <v>1359.02</v>
      </c>
      <c r="J481" s="24">
        <v>1350</v>
      </c>
      <c r="K481" s="24">
        <v>1129.6400000000001</v>
      </c>
      <c r="L481" s="24">
        <f t="shared" si="110"/>
        <v>208.15199999999999</v>
      </c>
      <c r="M481" s="24">
        <v>173.46</v>
      </c>
      <c r="N481" s="24">
        <v>500</v>
      </c>
      <c r="O481" s="24">
        <f t="shared" si="104"/>
        <v>500</v>
      </c>
      <c r="P481" s="215">
        <f t="shared" si="105"/>
        <v>500</v>
      </c>
    </row>
    <row r="482" spans="1:16" ht="15" hidden="1" customHeight="1" outlineLevel="1" x14ac:dyDescent="0.25">
      <c r="A482" s="39" t="s">
        <v>11</v>
      </c>
      <c r="B482" s="46" t="s">
        <v>545</v>
      </c>
      <c r="C482" s="246"/>
      <c r="D482" s="23" t="s">
        <v>103</v>
      </c>
      <c r="E482" s="20" t="s">
        <v>213</v>
      </c>
      <c r="F482" s="20" t="s">
        <v>238</v>
      </c>
      <c r="G482" s="20" t="s">
        <v>104</v>
      </c>
      <c r="H482" s="24">
        <v>938.04</v>
      </c>
      <c r="I482" s="24">
        <v>0</v>
      </c>
      <c r="J482" s="24">
        <v>0</v>
      </c>
      <c r="K482" s="24">
        <v>882.04</v>
      </c>
      <c r="L482" s="24">
        <f t="shared" si="110"/>
        <v>990.73200000000008</v>
      </c>
      <c r="M482" s="24">
        <v>825.61</v>
      </c>
      <c r="N482" s="24">
        <v>800</v>
      </c>
      <c r="O482" s="24">
        <f t="shared" si="104"/>
        <v>800</v>
      </c>
      <c r="P482" s="215">
        <f t="shared" si="105"/>
        <v>800</v>
      </c>
    </row>
    <row r="483" spans="1:16" ht="15" hidden="1" customHeight="1" outlineLevel="1" x14ac:dyDescent="0.25">
      <c r="A483" s="39"/>
      <c r="B483" s="46"/>
      <c r="C483" s="246"/>
      <c r="D483" s="23" t="s">
        <v>103</v>
      </c>
      <c r="E483" s="20" t="s">
        <v>217</v>
      </c>
      <c r="F483" s="20" t="s">
        <v>238</v>
      </c>
      <c r="G483" s="20" t="s">
        <v>104</v>
      </c>
      <c r="H483" s="24">
        <v>165.54</v>
      </c>
      <c r="I483" s="24">
        <v>0</v>
      </c>
      <c r="J483" s="24">
        <v>0</v>
      </c>
      <c r="K483" s="24">
        <v>220.36</v>
      </c>
      <c r="L483" s="24">
        <f t="shared" si="110"/>
        <v>174.82799999999997</v>
      </c>
      <c r="M483" s="24">
        <v>145.69</v>
      </c>
      <c r="N483" s="24">
        <v>200</v>
      </c>
      <c r="O483" s="24">
        <f t="shared" si="104"/>
        <v>200</v>
      </c>
      <c r="P483" s="215">
        <f t="shared" si="105"/>
        <v>200</v>
      </c>
    </row>
    <row r="484" spans="1:16" hidden="1" outlineLevel="1" x14ac:dyDescent="0.25">
      <c r="A484" s="39" t="s">
        <v>11</v>
      </c>
      <c r="B484" s="46" t="s">
        <v>545</v>
      </c>
      <c r="C484" s="246"/>
      <c r="D484" s="23" t="s">
        <v>470</v>
      </c>
      <c r="E484" s="20"/>
      <c r="F484" s="20"/>
      <c r="G484" s="20" t="s">
        <v>471</v>
      </c>
      <c r="H484" s="24">
        <f>SUM(H480:H483)</f>
        <v>7346.6299999999992</v>
      </c>
      <c r="I484" s="24">
        <f t="shared" ref="I484:P484" si="112">SUM(I480:I483)</f>
        <v>9755.17</v>
      </c>
      <c r="J484" s="24">
        <f t="shared" si="112"/>
        <v>9000</v>
      </c>
      <c r="K484" s="24">
        <f t="shared" si="112"/>
        <v>9000</v>
      </c>
      <c r="L484" s="24">
        <f t="shared" si="112"/>
        <v>3948.0359999999996</v>
      </c>
      <c r="M484" s="24">
        <f t="shared" si="112"/>
        <v>3290.03</v>
      </c>
      <c r="N484" s="24">
        <f t="shared" si="112"/>
        <v>4500</v>
      </c>
      <c r="O484" s="24">
        <f t="shared" si="112"/>
        <v>4500</v>
      </c>
      <c r="P484" s="215">
        <f t="shared" si="112"/>
        <v>4500</v>
      </c>
    </row>
    <row r="485" spans="1:16" ht="15" hidden="1" customHeight="1" outlineLevel="1" x14ac:dyDescent="0.25">
      <c r="A485" s="39" t="s">
        <v>11</v>
      </c>
      <c r="B485" s="46" t="s">
        <v>545</v>
      </c>
      <c r="C485" s="246"/>
      <c r="D485" s="23" t="s">
        <v>128</v>
      </c>
      <c r="E485" s="20" t="s">
        <v>213</v>
      </c>
      <c r="F485" s="20" t="s">
        <v>238</v>
      </c>
      <c r="G485" s="20" t="s">
        <v>246</v>
      </c>
      <c r="H485" s="24">
        <v>145.52000000000001</v>
      </c>
      <c r="I485" s="24">
        <v>136.78</v>
      </c>
      <c r="J485" s="24">
        <v>150</v>
      </c>
      <c r="K485" s="24">
        <v>350</v>
      </c>
      <c r="L485" s="24">
        <f t="shared" si="110"/>
        <v>336.82799999999997</v>
      </c>
      <c r="M485" s="24">
        <v>280.69</v>
      </c>
      <c r="N485" s="24">
        <v>350</v>
      </c>
      <c r="O485" s="24">
        <f t="shared" si="104"/>
        <v>350</v>
      </c>
      <c r="P485" s="215">
        <f t="shared" si="105"/>
        <v>350</v>
      </c>
    </row>
    <row r="486" spans="1:16" ht="15" hidden="1" customHeight="1" outlineLevel="1" x14ac:dyDescent="0.25">
      <c r="A486" s="39" t="s">
        <v>11</v>
      </c>
      <c r="B486" s="46" t="s">
        <v>545</v>
      </c>
      <c r="C486" s="246"/>
      <c r="D486" s="23" t="s">
        <v>128</v>
      </c>
      <c r="E486" s="20" t="s">
        <v>217</v>
      </c>
      <c r="F486" s="20" t="s">
        <v>238</v>
      </c>
      <c r="G486" s="20" t="s">
        <v>246</v>
      </c>
      <c r="H486" s="24">
        <v>25.68</v>
      </c>
      <c r="I486" s="24">
        <v>24.14</v>
      </c>
      <c r="J486" s="24">
        <v>30</v>
      </c>
      <c r="K486" s="24">
        <v>20</v>
      </c>
      <c r="L486" s="24">
        <f t="shared" si="110"/>
        <v>0</v>
      </c>
      <c r="M486" s="24">
        <v>0</v>
      </c>
      <c r="N486" s="24">
        <v>0</v>
      </c>
      <c r="O486" s="24">
        <f t="shared" si="104"/>
        <v>0</v>
      </c>
      <c r="P486" s="215">
        <f t="shared" si="105"/>
        <v>0</v>
      </c>
    </row>
    <row r="487" spans="1:16" ht="15" hidden="1" customHeight="1" outlineLevel="1" x14ac:dyDescent="0.25">
      <c r="A487" s="39" t="s">
        <v>11</v>
      </c>
      <c r="B487" s="46" t="s">
        <v>545</v>
      </c>
      <c r="C487" s="246"/>
      <c r="D487" s="23" t="s">
        <v>137</v>
      </c>
      <c r="E487" s="20" t="s">
        <v>14</v>
      </c>
      <c r="F487" s="20" t="s">
        <v>238</v>
      </c>
      <c r="G487" s="20" t="s">
        <v>228</v>
      </c>
      <c r="H487" s="24">
        <v>0</v>
      </c>
      <c r="I487" s="24">
        <v>0</v>
      </c>
      <c r="J487" s="24">
        <v>0</v>
      </c>
      <c r="K487" s="24">
        <v>110</v>
      </c>
      <c r="L487" s="24">
        <f t="shared" si="110"/>
        <v>120</v>
      </c>
      <c r="M487" s="24">
        <v>100</v>
      </c>
      <c r="N487" s="24">
        <v>150</v>
      </c>
      <c r="O487" s="24">
        <f t="shared" si="104"/>
        <v>150</v>
      </c>
      <c r="P487" s="215">
        <f t="shared" si="105"/>
        <v>150</v>
      </c>
    </row>
    <row r="488" spans="1:16" ht="15" hidden="1" customHeight="1" outlineLevel="1" x14ac:dyDescent="0.25">
      <c r="A488" s="39" t="s">
        <v>11</v>
      </c>
      <c r="B488" s="46" t="s">
        <v>545</v>
      </c>
      <c r="C488" s="246"/>
      <c r="D488" s="23" t="s">
        <v>151</v>
      </c>
      <c r="E488" s="20" t="s">
        <v>17</v>
      </c>
      <c r="F488" s="20" t="s">
        <v>238</v>
      </c>
      <c r="G488" s="20" t="s">
        <v>152</v>
      </c>
      <c r="H488" s="24">
        <v>517.24</v>
      </c>
      <c r="I488" s="24">
        <v>353.91</v>
      </c>
      <c r="J488" s="24">
        <v>954</v>
      </c>
      <c r="K488" s="24">
        <v>654</v>
      </c>
      <c r="L488" s="24">
        <f t="shared" si="110"/>
        <v>223.51199999999997</v>
      </c>
      <c r="M488" s="24">
        <v>186.26</v>
      </c>
      <c r="N488" s="24">
        <v>561</v>
      </c>
      <c r="O488" s="24">
        <f t="shared" si="104"/>
        <v>561</v>
      </c>
      <c r="P488" s="215">
        <f t="shared" si="105"/>
        <v>561</v>
      </c>
    </row>
    <row r="489" spans="1:16" ht="15" hidden="1" customHeight="1" outlineLevel="1" x14ac:dyDescent="0.25">
      <c r="A489" s="39" t="s">
        <v>11</v>
      </c>
      <c r="B489" s="46" t="s">
        <v>545</v>
      </c>
      <c r="C489" s="246"/>
      <c r="D489" s="23" t="s">
        <v>153</v>
      </c>
      <c r="E489" s="20" t="s">
        <v>213</v>
      </c>
      <c r="F489" s="20" t="s">
        <v>238</v>
      </c>
      <c r="G489" s="20" t="s">
        <v>154</v>
      </c>
      <c r="H489" s="24">
        <v>170.33</v>
      </c>
      <c r="I489" s="24">
        <v>101.75</v>
      </c>
      <c r="J489" s="24">
        <v>205</v>
      </c>
      <c r="K489" s="24">
        <v>205</v>
      </c>
      <c r="L489" s="24">
        <f>M489</f>
        <v>151.93</v>
      </c>
      <c r="M489" s="24">
        <v>151.93</v>
      </c>
      <c r="N489" s="24">
        <v>150</v>
      </c>
      <c r="O489" s="24">
        <f t="shared" si="104"/>
        <v>150</v>
      </c>
      <c r="P489" s="215">
        <f t="shared" si="105"/>
        <v>150</v>
      </c>
    </row>
    <row r="490" spans="1:16" ht="15" hidden="1" customHeight="1" outlineLevel="1" x14ac:dyDescent="0.25">
      <c r="A490" s="39" t="s">
        <v>11</v>
      </c>
      <c r="B490" s="46" t="s">
        <v>545</v>
      </c>
      <c r="C490" s="246"/>
      <c r="D490" s="23" t="s">
        <v>153</v>
      </c>
      <c r="E490" s="20" t="s">
        <v>217</v>
      </c>
      <c r="F490" s="20" t="s">
        <v>238</v>
      </c>
      <c r="G490" s="20" t="s">
        <v>154</v>
      </c>
      <c r="H490" s="24">
        <v>30.05</v>
      </c>
      <c r="I490" s="24">
        <v>17.95</v>
      </c>
      <c r="J490" s="24">
        <v>35</v>
      </c>
      <c r="K490" s="24">
        <v>35</v>
      </c>
      <c r="L490" s="24">
        <f>M490</f>
        <v>26.81</v>
      </c>
      <c r="M490" s="24">
        <v>26.81</v>
      </c>
      <c r="N490" s="24">
        <v>30</v>
      </c>
      <c r="O490" s="24">
        <f t="shared" si="104"/>
        <v>30</v>
      </c>
      <c r="P490" s="215">
        <f t="shared" si="105"/>
        <v>30</v>
      </c>
    </row>
    <row r="491" spans="1:16" ht="15" hidden="1" customHeight="1" outlineLevel="1" x14ac:dyDescent="0.25">
      <c r="A491" s="39"/>
      <c r="B491" s="46"/>
      <c r="C491" s="246"/>
      <c r="D491" s="23" t="s">
        <v>155</v>
      </c>
      <c r="E491" s="20" t="s">
        <v>17</v>
      </c>
      <c r="F491" s="20" t="s">
        <v>238</v>
      </c>
      <c r="G491" s="20" t="s">
        <v>156</v>
      </c>
      <c r="H491" s="24">
        <v>125.7</v>
      </c>
      <c r="I491" s="24">
        <v>82.3</v>
      </c>
      <c r="J491" s="24">
        <v>132</v>
      </c>
      <c r="K491" s="24">
        <v>132</v>
      </c>
      <c r="L491" s="24">
        <f>M491/10*12</f>
        <v>39.275999999999996</v>
      </c>
      <c r="M491" s="24">
        <v>32.729999999999997</v>
      </c>
      <c r="N491" s="24">
        <v>48</v>
      </c>
      <c r="O491" s="24">
        <f t="shared" si="104"/>
        <v>48</v>
      </c>
      <c r="P491" s="215">
        <f t="shared" si="105"/>
        <v>48</v>
      </c>
    </row>
    <row r="492" spans="1:16" ht="15.75" hidden="1" outlineLevel="1" thickBot="1" x14ac:dyDescent="0.3">
      <c r="A492" s="39"/>
      <c r="B492" s="46"/>
      <c r="C492" s="246"/>
      <c r="D492" s="30" t="s">
        <v>478</v>
      </c>
      <c r="E492" s="22"/>
      <c r="F492" s="22"/>
      <c r="G492" s="22" t="s">
        <v>479</v>
      </c>
      <c r="H492" s="29">
        <f>SUM(H485:H491)</f>
        <v>1014.5200000000001</v>
      </c>
      <c r="I492" s="29">
        <f>SUM(I485:I491)</f>
        <v>716.83</v>
      </c>
      <c r="J492" s="29">
        <f t="shared" ref="J492:P492" si="113">SUM(J485:J491)</f>
        <v>1506</v>
      </c>
      <c r="K492" s="29">
        <f t="shared" si="113"/>
        <v>1506</v>
      </c>
      <c r="L492" s="29">
        <f t="shared" si="113"/>
        <v>898.35599999999988</v>
      </c>
      <c r="M492" s="29">
        <f t="shared" si="113"/>
        <v>778.42000000000007</v>
      </c>
      <c r="N492" s="29">
        <f t="shared" si="113"/>
        <v>1289</v>
      </c>
      <c r="O492" s="29">
        <f t="shared" si="113"/>
        <v>1289</v>
      </c>
      <c r="P492" s="217">
        <f t="shared" si="113"/>
        <v>1289</v>
      </c>
    </row>
    <row r="493" spans="1:16" ht="15.75" collapsed="1" thickBot="1" x14ac:dyDescent="0.3">
      <c r="A493" s="74" t="s">
        <v>559</v>
      </c>
      <c r="B493" s="74"/>
      <c r="C493" s="247"/>
      <c r="D493" s="60" t="s">
        <v>593</v>
      </c>
      <c r="E493" s="76"/>
      <c r="F493" s="76"/>
      <c r="G493" s="61" t="s">
        <v>628</v>
      </c>
      <c r="H493" s="62">
        <f>H492+H484+H479+H474+H470+H466+H462+H458+H454+H450+H446+H440</f>
        <v>22452.85</v>
      </c>
      <c r="I493" s="62">
        <f t="shared" ref="I493:P493" si="114">I492+I484+I479+I474+I470+I466+I462+I458+I454+I450+I446+I440</f>
        <v>19080.03</v>
      </c>
      <c r="J493" s="62">
        <f t="shared" si="114"/>
        <v>25291</v>
      </c>
      <c r="K493" s="62">
        <f t="shared" si="114"/>
        <v>25291</v>
      </c>
      <c r="L493" s="62">
        <f t="shared" si="114"/>
        <v>10723.486000000001</v>
      </c>
      <c r="M493" s="62">
        <f t="shared" si="114"/>
        <v>8845.74</v>
      </c>
      <c r="N493" s="62">
        <f t="shared" si="114"/>
        <v>12407</v>
      </c>
      <c r="O493" s="62">
        <f t="shared" si="114"/>
        <v>12407</v>
      </c>
      <c r="P493" s="63">
        <f t="shared" si="114"/>
        <v>12407</v>
      </c>
    </row>
    <row r="494" spans="1:16" ht="15.75" thickBot="1" x14ac:dyDescent="0.3">
      <c r="A494" s="1" t="s">
        <v>11</v>
      </c>
      <c r="B494" s="13" t="s">
        <v>507</v>
      </c>
      <c r="C494" s="161" t="s">
        <v>629</v>
      </c>
      <c r="D494" s="162"/>
      <c r="E494" s="162"/>
      <c r="F494" s="162"/>
      <c r="G494" s="163" t="s">
        <v>715</v>
      </c>
      <c r="H494" s="164">
        <f>H532</f>
        <v>28423.9</v>
      </c>
      <c r="I494" s="164">
        <f t="shared" ref="I494:P494" si="115">I532</f>
        <v>30663.279999999999</v>
      </c>
      <c r="J494" s="164">
        <f t="shared" si="115"/>
        <v>34206</v>
      </c>
      <c r="K494" s="164">
        <f t="shared" si="115"/>
        <v>36117.54</v>
      </c>
      <c r="L494" s="164">
        <f t="shared" si="115"/>
        <v>35626.392</v>
      </c>
      <c r="M494" s="164">
        <f t="shared" si="115"/>
        <v>28280.9</v>
      </c>
      <c r="N494" s="164">
        <f t="shared" si="115"/>
        <v>38920.75</v>
      </c>
      <c r="O494" s="164">
        <f t="shared" si="115"/>
        <v>38920.75</v>
      </c>
      <c r="P494" s="165">
        <f t="shared" si="115"/>
        <v>38920.75</v>
      </c>
    </row>
    <row r="495" spans="1:16" ht="15.75" hidden="1" outlineLevel="1" thickBot="1" x14ac:dyDescent="0.3">
      <c r="A495" s="39" t="s">
        <v>11</v>
      </c>
      <c r="B495" s="46" t="s">
        <v>507</v>
      </c>
      <c r="C495" s="200" t="s">
        <v>249</v>
      </c>
      <c r="D495" s="40" t="s">
        <v>13</v>
      </c>
      <c r="E495" s="40" t="s">
        <v>14</v>
      </c>
      <c r="F495" s="40" t="s">
        <v>250</v>
      </c>
      <c r="G495" s="40" t="s">
        <v>19</v>
      </c>
      <c r="H495" s="41">
        <v>13342.79</v>
      </c>
      <c r="I495" s="41">
        <v>14555.4</v>
      </c>
      <c r="J495" s="41">
        <v>22152</v>
      </c>
      <c r="K495" s="41">
        <v>22152</v>
      </c>
      <c r="L495" s="41">
        <v>23902.3</v>
      </c>
      <c r="M495" s="41">
        <v>19287.3</v>
      </c>
      <c r="N495" s="41">
        <v>25100</v>
      </c>
      <c r="O495" s="41">
        <f t="shared" ref="O495:O530" si="116">N495</f>
        <v>25100</v>
      </c>
      <c r="P495" s="201">
        <f t="shared" ref="P495:P530" si="117">N495</f>
        <v>25100</v>
      </c>
    </row>
    <row r="496" spans="1:16" ht="15.75" hidden="1" outlineLevel="1" thickBot="1" x14ac:dyDescent="0.3">
      <c r="A496" s="39"/>
      <c r="B496" s="46" t="s">
        <v>507</v>
      </c>
      <c r="C496" s="202" t="s">
        <v>249</v>
      </c>
      <c r="D496" s="39" t="s">
        <v>13</v>
      </c>
      <c r="E496" s="39" t="s">
        <v>17</v>
      </c>
      <c r="F496" s="39" t="s">
        <v>250</v>
      </c>
      <c r="G496" s="39" t="s">
        <v>16</v>
      </c>
      <c r="H496" s="42">
        <v>5545</v>
      </c>
      <c r="I496" s="42">
        <v>5918.7</v>
      </c>
      <c r="J496" s="42">
        <v>0</v>
      </c>
      <c r="K496" s="42">
        <v>0</v>
      </c>
      <c r="L496" s="42">
        <v>0</v>
      </c>
      <c r="M496" s="42">
        <v>0</v>
      </c>
      <c r="N496" s="42">
        <v>0</v>
      </c>
      <c r="O496" s="42">
        <f t="shared" si="116"/>
        <v>0</v>
      </c>
      <c r="P496" s="203">
        <f t="shared" si="117"/>
        <v>0</v>
      </c>
    </row>
    <row r="497" spans="1:16" ht="15.75" hidden="1" outlineLevel="1" thickBot="1" x14ac:dyDescent="0.3">
      <c r="A497" s="39"/>
      <c r="B497" s="46"/>
      <c r="C497" s="204" t="s">
        <v>249</v>
      </c>
      <c r="D497" s="39" t="s">
        <v>13</v>
      </c>
      <c r="E497" s="39" t="s">
        <v>17</v>
      </c>
      <c r="F497" s="39" t="s">
        <v>250</v>
      </c>
      <c r="G497" s="39" t="s">
        <v>550</v>
      </c>
      <c r="H497" s="42">
        <v>0</v>
      </c>
      <c r="I497" s="42">
        <v>0</v>
      </c>
      <c r="J497" s="42">
        <v>0</v>
      </c>
      <c r="K497" s="42">
        <v>0</v>
      </c>
      <c r="L497" s="42">
        <v>0</v>
      </c>
      <c r="M497" s="42">
        <v>0</v>
      </c>
      <c r="N497" s="42">
        <v>560</v>
      </c>
      <c r="O497" s="42">
        <f t="shared" si="116"/>
        <v>560</v>
      </c>
      <c r="P497" s="203">
        <f t="shared" si="117"/>
        <v>560</v>
      </c>
    </row>
    <row r="498" spans="1:16" collapsed="1" x14ac:dyDescent="0.25">
      <c r="A498" s="39" t="s">
        <v>11</v>
      </c>
      <c r="B498" s="46" t="s">
        <v>507</v>
      </c>
      <c r="C498" s="245"/>
      <c r="D498" s="23" t="s">
        <v>468</v>
      </c>
      <c r="E498" s="20"/>
      <c r="F498" s="20"/>
      <c r="G498" s="20" t="s">
        <v>610</v>
      </c>
      <c r="H498" s="24">
        <f>SUM(H495:H497)</f>
        <v>18887.79</v>
      </c>
      <c r="I498" s="24">
        <f t="shared" ref="I498:P498" si="118">SUM(I495:I497)</f>
        <v>20474.099999999999</v>
      </c>
      <c r="J498" s="24">
        <f t="shared" si="118"/>
        <v>22152</v>
      </c>
      <c r="K498" s="24">
        <f t="shared" si="118"/>
        <v>22152</v>
      </c>
      <c r="L498" s="24">
        <f t="shared" si="118"/>
        <v>23902.3</v>
      </c>
      <c r="M498" s="24">
        <f t="shared" si="118"/>
        <v>19287.3</v>
      </c>
      <c r="N498" s="24">
        <f t="shared" si="118"/>
        <v>25660</v>
      </c>
      <c r="O498" s="24">
        <f t="shared" si="118"/>
        <v>25660</v>
      </c>
      <c r="P498" s="215">
        <f t="shared" si="118"/>
        <v>25660</v>
      </c>
    </row>
    <row r="499" spans="1:16" ht="15" hidden="1" customHeight="1" outlineLevel="1" x14ac:dyDescent="0.25">
      <c r="A499" s="39" t="s">
        <v>11</v>
      </c>
      <c r="B499" s="46" t="s">
        <v>507</v>
      </c>
      <c r="C499" s="246"/>
      <c r="D499" s="23" t="s">
        <v>22</v>
      </c>
      <c r="E499" s="20" t="s">
        <v>14</v>
      </c>
      <c r="F499" s="20" t="s">
        <v>250</v>
      </c>
      <c r="G499" s="20" t="s">
        <v>23</v>
      </c>
      <c r="H499" s="24">
        <v>1433.29</v>
      </c>
      <c r="I499" s="24">
        <v>1556.93</v>
      </c>
      <c r="J499" s="24">
        <v>2072</v>
      </c>
      <c r="K499" s="24">
        <v>2072</v>
      </c>
      <c r="L499" s="24">
        <v>1946.6</v>
      </c>
      <c r="M499" s="24">
        <v>1485.1</v>
      </c>
      <c r="N499" s="24">
        <v>2510</v>
      </c>
      <c r="O499" s="24">
        <f t="shared" si="116"/>
        <v>2510</v>
      </c>
      <c r="P499" s="215">
        <f t="shared" si="117"/>
        <v>2510</v>
      </c>
    </row>
    <row r="500" spans="1:16" ht="15" hidden="1" customHeight="1" outlineLevel="1" x14ac:dyDescent="0.25">
      <c r="A500" s="39" t="s">
        <v>11</v>
      </c>
      <c r="B500" s="46" t="s">
        <v>507</v>
      </c>
      <c r="C500" s="246"/>
      <c r="D500" s="23" t="s">
        <v>52</v>
      </c>
      <c r="E500" s="20" t="s">
        <v>14</v>
      </c>
      <c r="F500" s="20" t="s">
        <v>250</v>
      </c>
      <c r="G500" s="20" t="s">
        <v>53</v>
      </c>
      <c r="H500" s="24">
        <v>216</v>
      </c>
      <c r="I500" s="24">
        <v>238</v>
      </c>
      <c r="J500" s="24">
        <v>240</v>
      </c>
      <c r="K500" s="24">
        <v>240</v>
      </c>
      <c r="L500" s="24">
        <v>210</v>
      </c>
      <c r="M500" s="24">
        <v>190</v>
      </c>
      <c r="N500" s="24">
        <v>240</v>
      </c>
      <c r="O500" s="24">
        <f t="shared" si="116"/>
        <v>240</v>
      </c>
      <c r="P500" s="215">
        <f t="shared" si="117"/>
        <v>240</v>
      </c>
    </row>
    <row r="501" spans="1:16" ht="15" hidden="1" customHeight="1" outlineLevel="1" x14ac:dyDescent="0.25">
      <c r="A501" s="39" t="s">
        <v>11</v>
      </c>
      <c r="B501" s="46" t="s">
        <v>507</v>
      </c>
      <c r="C501" s="246"/>
      <c r="D501" s="23" t="s">
        <v>29</v>
      </c>
      <c r="E501" s="20" t="s">
        <v>14</v>
      </c>
      <c r="F501" s="20" t="s">
        <v>250</v>
      </c>
      <c r="G501" s="20" t="s">
        <v>30</v>
      </c>
      <c r="H501" s="24">
        <v>265.14</v>
      </c>
      <c r="I501" s="24">
        <v>287.27999999999997</v>
      </c>
      <c r="J501" s="24">
        <v>382</v>
      </c>
      <c r="K501" s="24">
        <v>382</v>
      </c>
      <c r="L501" s="24">
        <v>333.56</v>
      </c>
      <c r="M501" s="24">
        <v>268.95</v>
      </c>
      <c r="N501" s="24">
        <v>360</v>
      </c>
      <c r="O501" s="24">
        <f t="shared" si="116"/>
        <v>360</v>
      </c>
      <c r="P501" s="215">
        <f t="shared" si="117"/>
        <v>360</v>
      </c>
    </row>
    <row r="502" spans="1:16" ht="15" hidden="1" customHeight="1" outlineLevel="1" x14ac:dyDescent="0.25">
      <c r="A502" s="39" t="s">
        <v>11</v>
      </c>
      <c r="B502" s="46" t="s">
        <v>507</v>
      </c>
      <c r="C502" s="246"/>
      <c r="D502" s="23" t="s">
        <v>32</v>
      </c>
      <c r="E502" s="20" t="s">
        <v>14</v>
      </c>
      <c r="F502" s="20" t="s">
        <v>250</v>
      </c>
      <c r="G502" s="20" t="s">
        <v>34</v>
      </c>
      <c r="H502" s="24">
        <v>714.76</v>
      </c>
      <c r="I502" s="24">
        <v>2873.55</v>
      </c>
      <c r="J502" s="24">
        <v>3820</v>
      </c>
      <c r="K502" s="24">
        <v>3820</v>
      </c>
      <c r="L502" s="24">
        <v>3336.62</v>
      </c>
      <c r="M502" s="24">
        <v>2690.52</v>
      </c>
      <c r="N502" s="24">
        <v>3600</v>
      </c>
      <c r="O502" s="24">
        <f t="shared" si="116"/>
        <v>3600</v>
      </c>
      <c r="P502" s="215">
        <f t="shared" si="117"/>
        <v>3600</v>
      </c>
    </row>
    <row r="503" spans="1:16" ht="15" hidden="1" customHeight="1" outlineLevel="1" x14ac:dyDescent="0.25">
      <c r="A503" s="39" t="s">
        <v>11</v>
      </c>
      <c r="B503" s="46" t="s">
        <v>507</v>
      </c>
      <c r="C503" s="246"/>
      <c r="D503" s="23" t="s">
        <v>32</v>
      </c>
      <c r="E503" s="20" t="s">
        <v>17</v>
      </c>
      <c r="F503" s="20" t="s">
        <v>250</v>
      </c>
      <c r="G503" s="20" t="s">
        <v>34</v>
      </c>
      <c r="H503" s="24">
        <v>1937.92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f t="shared" si="116"/>
        <v>0</v>
      </c>
      <c r="P503" s="215">
        <f t="shared" si="117"/>
        <v>0</v>
      </c>
    </row>
    <row r="504" spans="1:16" ht="15" hidden="1" customHeight="1" outlineLevel="1" x14ac:dyDescent="0.25">
      <c r="A504" s="39" t="s">
        <v>11</v>
      </c>
      <c r="B504" s="46" t="s">
        <v>507</v>
      </c>
      <c r="C504" s="246"/>
      <c r="D504" s="23" t="s">
        <v>36</v>
      </c>
      <c r="E504" s="20" t="s">
        <v>14</v>
      </c>
      <c r="F504" s="20" t="s">
        <v>250</v>
      </c>
      <c r="G504" s="20" t="s">
        <v>38</v>
      </c>
      <c r="H504" s="24">
        <v>151.54</v>
      </c>
      <c r="I504" s="24">
        <v>151.49</v>
      </c>
      <c r="J504" s="24">
        <v>194</v>
      </c>
      <c r="K504" s="24">
        <v>194</v>
      </c>
      <c r="L504" s="24">
        <v>190.57999999999998</v>
      </c>
      <c r="M504" s="24">
        <v>153.66</v>
      </c>
      <c r="N504" s="24">
        <v>201</v>
      </c>
      <c r="O504" s="24">
        <f t="shared" si="116"/>
        <v>201</v>
      </c>
      <c r="P504" s="215">
        <f t="shared" si="117"/>
        <v>201</v>
      </c>
    </row>
    <row r="505" spans="1:16" ht="15" hidden="1" customHeight="1" outlineLevel="1" x14ac:dyDescent="0.25">
      <c r="A505" s="39" t="s">
        <v>11</v>
      </c>
      <c r="B505" s="46" t="s">
        <v>507</v>
      </c>
      <c r="C505" s="246"/>
      <c r="D505" s="23" t="s">
        <v>40</v>
      </c>
      <c r="E505" s="20" t="s">
        <v>14</v>
      </c>
      <c r="F505" s="20" t="s">
        <v>250</v>
      </c>
      <c r="G505" s="20" t="s">
        <v>42</v>
      </c>
      <c r="H505" s="24">
        <v>568.37</v>
      </c>
      <c r="I505" s="24">
        <v>628.42999999999995</v>
      </c>
      <c r="J505" s="24">
        <v>843</v>
      </c>
      <c r="K505" s="24">
        <v>843</v>
      </c>
      <c r="L505" s="24">
        <v>714.99</v>
      </c>
      <c r="M505" s="24">
        <v>576.54</v>
      </c>
      <c r="N505" s="24">
        <v>752</v>
      </c>
      <c r="O505" s="24">
        <f t="shared" si="116"/>
        <v>752</v>
      </c>
      <c r="P505" s="215">
        <f t="shared" si="117"/>
        <v>752</v>
      </c>
    </row>
    <row r="506" spans="1:16" ht="15" hidden="1" customHeight="1" outlineLevel="1" x14ac:dyDescent="0.25">
      <c r="A506" s="39" t="s">
        <v>11</v>
      </c>
      <c r="B506" s="46" t="s">
        <v>507</v>
      </c>
      <c r="C506" s="246"/>
      <c r="D506" s="23" t="s">
        <v>44</v>
      </c>
      <c r="E506" s="20" t="s">
        <v>14</v>
      </c>
      <c r="F506" s="20" t="s">
        <v>250</v>
      </c>
      <c r="G506" s="20" t="s">
        <v>46</v>
      </c>
      <c r="H506" s="24">
        <v>189.41</v>
      </c>
      <c r="I506" s="24">
        <v>205.24</v>
      </c>
      <c r="J506" s="24">
        <v>273</v>
      </c>
      <c r="K506" s="24">
        <v>273</v>
      </c>
      <c r="L506" s="24">
        <v>238.33</v>
      </c>
      <c r="M506" s="24">
        <v>192.18</v>
      </c>
      <c r="N506" s="24">
        <v>251</v>
      </c>
      <c r="O506" s="24">
        <f t="shared" si="116"/>
        <v>251</v>
      </c>
      <c r="P506" s="215">
        <f t="shared" si="117"/>
        <v>251</v>
      </c>
    </row>
    <row r="507" spans="1:16" ht="15" hidden="1" customHeight="1" outlineLevel="1" x14ac:dyDescent="0.25">
      <c r="A507" s="39"/>
      <c r="B507" s="46"/>
      <c r="C507" s="246"/>
      <c r="D507" s="23" t="s">
        <v>48</v>
      </c>
      <c r="E507" s="20" t="s">
        <v>14</v>
      </c>
      <c r="F507" s="20" t="s">
        <v>250</v>
      </c>
      <c r="G507" s="20" t="s">
        <v>50</v>
      </c>
      <c r="H507" s="24">
        <v>899.87</v>
      </c>
      <c r="I507" s="24">
        <v>974.87</v>
      </c>
      <c r="J507" s="24">
        <v>1300</v>
      </c>
      <c r="K507" s="24">
        <v>1300</v>
      </c>
      <c r="L507" s="24">
        <v>1374.31</v>
      </c>
      <c r="M507" s="24">
        <v>912.81</v>
      </c>
      <c r="N507" s="24">
        <v>1400</v>
      </c>
      <c r="O507" s="24">
        <f t="shared" si="116"/>
        <v>1400</v>
      </c>
      <c r="P507" s="215">
        <f t="shared" si="117"/>
        <v>1400</v>
      </c>
    </row>
    <row r="508" spans="1:16" collapsed="1" x14ac:dyDescent="0.25">
      <c r="A508" s="39" t="s">
        <v>11</v>
      </c>
      <c r="B508" s="46" t="s">
        <v>507</v>
      </c>
      <c r="C508" s="246"/>
      <c r="D508" s="23" t="s">
        <v>469</v>
      </c>
      <c r="E508" s="20"/>
      <c r="F508" s="20"/>
      <c r="G508" s="20" t="s">
        <v>472</v>
      </c>
      <c r="H508" s="24">
        <f>SUM(H499:H507)</f>
        <v>6376.2999999999993</v>
      </c>
      <c r="I508" s="24">
        <f t="shared" ref="I508:P508" si="119">SUM(I499:I507)</f>
        <v>6915.79</v>
      </c>
      <c r="J508" s="24">
        <f t="shared" si="119"/>
        <v>9124</v>
      </c>
      <c r="K508" s="24">
        <f t="shared" si="119"/>
        <v>9124</v>
      </c>
      <c r="L508" s="24">
        <f t="shared" si="119"/>
        <v>8344.99</v>
      </c>
      <c r="M508" s="24">
        <f t="shared" si="119"/>
        <v>6469.76</v>
      </c>
      <c r="N508" s="24">
        <f t="shared" si="119"/>
        <v>9314</v>
      </c>
      <c r="O508" s="24">
        <f t="shared" si="119"/>
        <v>9314</v>
      </c>
      <c r="P508" s="215">
        <f t="shared" si="119"/>
        <v>9314</v>
      </c>
    </row>
    <row r="509" spans="1:16" ht="15" hidden="1" customHeight="1" outlineLevel="1" x14ac:dyDescent="0.25">
      <c r="A509" s="39"/>
      <c r="B509" s="46"/>
      <c r="C509" s="246"/>
      <c r="D509" s="23" t="s">
        <v>54</v>
      </c>
      <c r="E509" s="20" t="s">
        <v>14</v>
      </c>
      <c r="F509" s="20" t="s">
        <v>250</v>
      </c>
      <c r="G509" s="20" t="s">
        <v>55</v>
      </c>
      <c r="H509" s="24">
        <v>5.7</v>
      </c>
      <c r="I509" s="24">
        <v>0</v>
      </c>
      <c r="J509" s="24">
        <v>20</v>
      </c>
      <c r="K509" s="24">
        <v>120</v>
      </c>
      <c r="L509" s="24">
        <v>120</v>
      </c>
      <c r="M509" s="24">
        <v>0</v>
      </c>
      <c r="N509" s="24">
        <v>120</v>
      </c>
      <c r="O509" s="24">
        <f t="shared" si="116"/>
        <v>120</v>
      </c>
      <c r="P509" s="215">
        <f t="shared" si="117"/>
        <v>120</v>
      </c>
    </row>
    <row r="510" spans="1:16" collapsed="1" x14ac:dyDescent="0.25">
      <c r="A510" s="39" t="s">
        <v>11</v>
      </c>
      <c r="B510" s="46" t="s">
        <v>507</v>
      </c>
      <c r="C510" s="246"/>
      <c r="D510" s="23" t="s">
        <v>480</v>
      </c>
      <c r="E510" s="20"/>
      <c r="F510" s="20"/>
      <c r="G510" s="20" t="s">
        <v>55</v>
      </c>
      <c r="H510" s="24">
        <f>SUM(H509)</f>
        <v>5.7</v>
      </c>
      <c r="I510" s="24">
        <f t="shared" ref="I510:P510" si="120">SUM(I509)</f>
        <v>0</v>
      </c>
      <c r="J510" s="24">
        <f t="shared" si="120"/>
        <v>20</v>
      </c>
      <c r="K510" s="24">
        <f t="shared" si="120"/>
        <v>120</v>
      </c>
      <c r="L510" s="24">
        <f t="shared" si="120"/>
        <v>120</v>
      </c>
      <c r="M510" s="24">
        <f t="shared" si="120"/>
        <v>0</v>
      </c>
      <c r="N510" s="24">
        <f t="shared" si="120"/>
        <v>120</v>
      </c>
      <c r="O510" s="24">
        <f t="shared" si="120"/>
        <v>120</v>
      </c>
      <c r="P510" s="215">
        <f t="shared" si="120"/>
        <v>120</v>
      </c>
    </row>
    <row r="511" spans="1:16" ht="14.25" hidden="1" customHeight="1" outlineLevel="1" x14ac:dyDescent="0.25">
      <c r="A511" s="39" t="s">
        <v>11</v>
      </c>
      <c r="B511" s="46" t="s">
        <v>507</v>
      </c>
      <c r="C511" s="246"/>
      <c r="D511" s="23" t="s">
        <v>56</v>
      </c>
      <c r="E511" s="20" t="s">
        <v>17</v>
      </c>
      <c r="F511" s="20" t="s">
        <v>250</v>
      </c>
      <c r="G511" s="20" t="s">
        <v>57</v>
      </c>
      <c r="H511" s="24">
        <v>81.72</v>
      </c>
      <c r="I511" s="24">
        <v>129.35</v>
      </c>
      <c r="J511" s="24">
        <v>100</v>
      </c>
      <c r="K511" s="24">
        <v>100</v>
      </c>
      <c r="L511" s="24">
        <f t="shared" ref="L511:L517" si="121">M511/10*12</f>
        <v>70.463999999999999</v>
      </c>
      <c r="M511" s="24">
        <v>58.72</v>
      </c>
      <c r="N511" s="24">
        <v>100</v>
      </c>
      <c r="O511" s="24">
        <f t="shared" si="116"/>
        <v>100</v>
      </c>
      <c r="P511" s="215">
        <f t="shared" si="117"/>
        <v>100</v>
      </c>
    </row>
    <row r="512" spans="1:16" ht="15" hidden="1" customHeight="1" outlineLevel="1" x14ac:dyDescent="0.25">
      <c r="A512" s="39" t="s">
        <v>11</v>
      </c>
      <c r="B512" s="46" t="s">
        <v>507</v>
      </c>
      <c r="C512" s="246"/>
      <c r="D512" s="23" t="s">
        <v>56</v>
      </c>
      <c r="E512" s="20" t="s">
        <v>17</v>
      </c>
      <c r="F512" s="20" t="s">
        <v>250</v>
      </c>
      <c r="G512" s="20" t="s">
        <v>244</v>
      </c>
      <c r="H512" s="24">
        <v>117.94</v>
      </c>
      <c r="I512" s="24">
        <v>76.19</v>
      </c>
      <c r="J512" s="24">
        <v>75</v>
      </c>
      <c r="K512" s="24">
        <v>75</v>
      </c>
      <c r="L512" s="24">
        <f t="shared" si="121"/>
        <v>104.53200000000001</v>
      </c>
      <c r="M512" s="24">
        <v>87.11</v>
      </c>
      <c r="N512" s="24">
        <v>120</v>
      </c>
      <c r="O512" s="24">
        <f t="shared" si="116"/>
        <v>120</v>
      </c>
      <c r="P512" s="215">
        <f t="shared" si="117"/>
        <v>120</v>
      </c>
    </row>
    <row r="513" spans="1:16" ht="15" hidden="1" customHeight="1" outlineLevel="1" x14ac:dyDescent="0.25">
      <c r="A513" s="39" t="s">
        <v>11</v>
      </c>
      <c r="B513" s="46" t="s">
        <v>507</v>
      </c>
      <c r="C513" s="246"/>
      <c r="D513" s="23" t="s">
        <v>65</v>
      </c>
      <c r="E513" s="20" t="s">
        <v>17</v>
      </c>
      <c r="F513" s="20" t="s">
        <v>250</v>
      </c>
      <c r="G513" s="20" t="s">
        <v>66</v>
      </c>
      <c r="H513" s="24">
        <v>147.32</v>
      </c>
      <c r="I513" s="24">
        <v>28.54</v>
      </c>
      <c r="J513" s="24">
        <v>50</v>
      </c>
      <c r="K513" s="24">
        <v>50</v>
      </c>
      <c r="L513" s="24">
        <f t="shared" si="121"/>
        <v>28.715999999999998</v>
      </c>
      <c r="M513" s="24">
        <v>23.93</v>
      </c>
      <c r="N513" s="24">
        <v>50</v>
      </c>
      <c r="O513" s="24">
        <f t="shared" si="116"/>
        <v>50</v>
      </c>
      <c r="P513" s="215">
        <f t="shared" si="117"/>
        <v>50</v>
      </c>
    </row>
    <row r="514" spans="1:16" ht="15" hidden="1" customHeight="1" outlineLevel="1" x14ac:dyDescent="0.25">
      <c r="A514" s="39" t="s">
        <v>11</v>
      </c>
      <c r="B514" s="46" t="s">
        <v>507</v>
      </c>
      <c r="C514" s="246"/>
      <c r="D514" s="23" t="s">
        <v>69</v>
      </c>
      <c r="E514" s="20" t="s">
        <v>17</v>
      </c>
      <c r="F514" s="20" t="s">
        <v>250</v>
      </c>
      <c r="G514" s="20" t="s">
        <v>71</v>
      </c>
      <c r="H514" s="24">
        <f>692.4+183.25</f>
        <v>875.65</v>
      </c>
      <c r="I514" s="24">
        <v>900.85</v>
      </c>
      <c r="J514" s="24">
        <v>700</v>
      </c>
      <c r="K514" s="24">
        <v>700</v>
      </c>
      <c r="L514" s="24">
        <f t="shared" si="121"/>
        <v>888.12000000000012</v>
      </c>
      <c r="M514" s="24">
        <v>740.1</v>
      </c>
      <c r="N514" s="24">
        <v>900</v>
      </c>
      <c r="O514" s="24">
        <f t="shared" si="116"/>
        <v>900</v>
      </c>
      <c r="P514" s="215">
        <f t="shared" si="117"/>
        <v>900</v>
      </c>
    </row>
    <row r="515" spans="1:16" ht="15" hidden="1" customHeight="1" outlineLevel="1" x14ac:dyDescent="0.25">
      <c r="A515" s="39"/>
      <c r="B515" s="46"/>
      <c r="C515" s="246"/>
      <c r="D515" s="23" t="s">
        <v>74</v>
      </c>
      <c r="E515" s="20" t="s">
        <v>17</v>
      </c>
      <c r="F515" s="20" t="s">
        <v>250</v>
      </c>
      <c r="G515" s="20" t="s">
        <v>251</v>
      </c>
      <c r="H515" s="24">
        <v>121.22</v>
      </c>
      <c r="I515" s="24">
        <v>118.04</v>
      </c>
      <c r="J515" s="24">
        <v>120</v>
      </c>
      <c r="K515" s="24">
        <v>120</v>
      </c>
      <c r="L515" s="24">
        <f t="shared" si="121"/>
        <v>139.94400000000002</v>
      </c>
      <c r="M515" s="24">
        <v>116.62</v>
      </c>
      <c r="N515" s="24">
        <v>140</v>
      </c>
      <c r="O515" s="24">
        <f t="shared" si="116"/>
        <v>140</v>
      </c>
      <c r="P515" s="215">
        <f t="shared" si="117"/>
        <v>140</v>
      </c>
    </row>
    <row r="516" spans="1:16" collapsed="1" x14ac:dyDescent="0.25">
      <c r="A516" s="39" t="s">
        <v>11</v>
      </c>
      <c r="B516" s="46" t="s">
        <v>507</v>
      </c>
      <c r="C516" s="246"/>
      <c r="D516" s="23" t="s">
        <v>481</v>
      </c>
      <c r="E516" s="20"/>
      <c r="F516" s="20"/>
      <c r="G516" s="20" t="s">
        <v>567</v>
      </c>
      <c r="H516" s="24">
        <f>SUM(H511:H515)</f>
        <v>1343.8500000000001</v>
      </c>
      <c r="I516" s="24">
        <f t="shared" ref="I516:P516" si="122">SUM(I511:I515)</f>
        <v>1252.97</v>
      </c>
      <c r="J516" s="24">
        <f t="shared" si="122"/>
        <v>1045</v>
      </c>
      <c r="K516" s="24">
        <f t="shared" si="122"/>
        <v>1045</v>
      </c>
      <c r="L516" s="24">
        <f t="shared" si="122"/>
        <v>1231.7760000000001</v>
      </c>
      <c r="M516" s="24">
        <f t="shared" si="122"/>
        <v>1026.48</v>
      </c>
      <c r="N516" s="24">
        <f t="shared" si="122"/>
        <v>1310</v>
      </c>
      <c r="O516" s="24">
        <f t="shared" si="122"/>
        <v>1310</v>
      </c>
      <c r="P516" s="215">
        <f t="shared" si="122"/>
        <v>1310</v>
      </c>
    </row>
    <row r="517" spans="1:16" ht="15" hidden="1" customHeight="1" outlineLevel="1" x14ac:dyDescent="0.25">
      <c r="A517" s="39" t="s">
        <v>11</v>
      </c>
      <c r="B517" s="46" t="s">
        <v>507</v>
      </c>
      <c r="C517" s="246"/>
      <c r="D517" s="23" t="s">
        <v>88</v>
      </c>
      <c r="E517" s="20" t="s">
        <v>14</v>
      </c>
      <c r="F517" s="20" t="s">
        <v>250</v>
      </c>
      <c r="G517" s="20" t="s">
        <v>252</v>
      </c>
      <c r="H517" s="24">
        <v>0</v>
      </c>
      <c r="I517" s="24">
        <v>0</v>
      </c>
      <c r="J517" s="24">
        <v>0</v>
      </c>
      <c r="K517" s="24">
        <v>0</v>
      </c>
      <c r="L517" s="24">
        <f t="shared" si="121"/>
        <v>34.200000000000003</v>
      </c>
      <c r="M517" s="24">
        <v>28.5</v>
      </c>
      <c r="N517" s="24">
        <v>50</v>
      </c>
      <c r="O517" s="24">
        <f t="shared" si="116"/>
        <v>50</v>
      </c>
      <c r="P517" s="215">
        <f t="shared" si="117"/>
        <v>50</v>
      </c>
    </row>
    <row r="518" spans="1:16" ht="15" hidden="1" customHeight="1" outlineLevel="1" x14ac:dyDescent="0.25">
      <c r="A518" s="39" t="s">
        <v>11</v>
      </c>
      <c r="B518" s="46" t="s">
        <v>507</v>
      </c>
      <c r="C518" s="246"/>
      <c r="D518" s="23" t="s">
        <v>88</v>
      </c>
      <c r="E518" s="20" t="s">
        <v>14</v>
      </c>
      <c r="F518" s="20" t="s">
        <v>250</v>
      </c>
      <c r="G518" s="20" t="s">
        <v>92</v>
      </c>
      <c r="H518" s="24">
        <v>0</v>
      </c>
      <c r="I518" s="24">
        <v>0</v>
      </c>
      <c r="J518" s="24">
        <v>0</v>
      </c>
      <c r="K518" s="24">
        <v>1561.54</v>
      </c>
      <c r="L518" s="24">
        <v>0</v>
      </c>
      <c r="M518" s="24">
        <v>0</v>
      </c>
      <c r="N518" s="24">
        <v>0</v>
      </c>
      <c r="O518" s="24">
        <f t="shared" si="116"/>
        <v>0</v>
      </c>
      <c r="P518" s="215">
        <f t="shared" si="117"/>
        <v>0</v>
      </c>
    </row>
    <row r="519" spans="1:16" ht="15" hidden="1" customHeight="1" outlineLevel="1" x14ac:dyDescent="0.25">
      <c r="A519" s="39" t="s">
        <v>11</v>
      </c>
      <c r="B519" s="46" t="s">
        <v>507</v>
      </c>
      <c r="C519" s="246"/>
      <c r="D519" s="23" t="s">
        <v>88</v>
      </c>
      <c r="E519" s="20" t="s">
        <v>17</v>
      </c>
      <c r="F519" s="20" t="s">
        <v>250</v>
      </c>
      <c r="G519" s="20" t="s">
        <v>200</v>
      </c>
      <c r="H519" s="24">
        <v>271.86</v>
      </c>
      <c r="I519" s="24">
        <v>188.98</v>
      </c>
      <c r="J519" s="24">
        <v>220</v>
      </c>
      <c r="K519" s="24">
        <v>270</v>
      </c>
      <c r="L519" s="24">
        <f>M519/10*12</f>
        <v>314.59199999999998</v>
      </c>
      <c r="M519" s="24">
        <v>262.16000000000003</v>
      </c>
      <c r="N519" s="24">
        <v>320</v>
      </c>
      <c r="O519" s="24">
        <f t="shared" si="116"/>
        <v>320</v>
      </c>
      <c r="P519" s="215">
        <f t="shared" si="117"/>
        <v>320</v>
      </c>
    </row>
    <row r="520" spans="1:16" ht="15" hidden="1" customHeight="1" outlineLevel="1" x14ac:dyDescent="0.25">
      <c r="A520" s="39" t="s">
        <v>11</v>
      </c>
      <c r="B520" s="46" t="s">
        <v>507</v>
      </c>
      <c r="C520" s="246"/>
      <c r="D520" s="23" t="s">
        <v>103</v>
      </c>
      <c r="E520" s="20" t="s">
        <v>17</v>
      </c>
      <c r="F520" s="20" t="s">
        <v>250</v>
      </c>
      <c r="G520" s="20" t="s">
        <v>253</v>
      </c>
      <c r="H520" s="24">
        <v>100</v>
      </c>
      <c r="I520" s="24">
        <v>100</v>
      </c>
      <c r="J520" s="24">
        <v>100</v>
      </c>
      <c r="K520" s="24">
        <v>100</v>
      </c>
      <c r="L520" s="24">
        <f>M520/10*12</f>
        <v>37.356000000000002</v>
      </c>
      <c r="M520" s="24">
        <v>31.13</v>
      </c>
      <c r="N520" s="24">
        <v>100</v>
      </c>
      <c r="O520" s="24">
        <f t="shared" si="116"/>
        <v>100</v>
      </c>
      <c r="P520" s="215">
        <f t="shared" si="117"/>
        <v>100</v>
      </c>
    </row>
    <row r="521" spans="1:16" ht="15" hidden="1" customHeight="1" outlineLevel="1" x14ac:dyDescent="0.25">
      <c r="A521" s="39"/>
      <c r="B521" s="46"/>
      <c r="C521" s="246"/>
      <c r="D521" s="23" t="s">
        <v>105</v>
      </c>
      <c r="E521" s="20" t="s">
        <v>17</v>
      </c>
      <c r="F521" s="20" t="s">
        <v>250</v>
      </c>
      <c r="G521" s="20" t="s">
        <v>106</v>
      </c>
      <c r="H521" s="24">
        <v>54.02</v>
      </c>
      <c r="I521" s="24">
        <v>32.6</v>
      </c>
      <c r="J521" s="24">
        <v>25</v>
      </c>
      <c r="K521" s="24">
        <v>25</v>
      </c>
      <c r="L521" s="24">
        <f>M521/10*12</f>
        <v>25.704000000000004</v>
      </c>
      <c r="M521" s="24">
        <v>21.42</v>
      </c>
      <c r="N521" s="24">
        <v>25</v>
      </c>
      <c r="O521" s="24">
        <f t="shared" si="116"/>
        <v>25</v>
      </c>
      <c r="P521" s="215">
        <f t="shared" si="117"/>
        <v>25</v>
      </c>
    </row>
    <row r="522" spans="1:16" collapsed="1" x14ac:dyDescent="0.25">
      <c r="A522" s="39" t="s">
        <v>11</v>
      </c>
      <c r="B522" s="46" t="s">
        <v>507</v>
      </c>
      <c r="C522" s="246"/>
      <c r="D522" s="23" t="s">
        <v>470</v>
      </c>
      <c r="E522" s="20"/>
      <c r="F522" s="20"/>
      <c r="G522" s="20" t="s">
        <v>471</v>
      </c>
      <c r="H522" s="24">
        <f>SUM(H517:H521)</f>
        <v>425.88</v>
      </c>
      <c r="I522" s="24">
        <f t="shared" ref="I522:P522" si="123">SUM(I517:I521)</f>
        <v>321.58000000000004</v>
      </c>
      <c r="J522" s="24">
        <f t="shared" si="123"/>
        <v>345</v>
      </c>
      <c r="K522" s="24">
        <f t="shared" si="123"/>
        <v>1956.54</v>
      </c>
      <c r="L522" s="24">
        <f t="shared" si="123"/>
        <v>411.85199999999998</v>
      </c>
      <c r="M522" s="24">
        <f t="shared" si="123"/>
        <v>343.21000000000004</v>
      </c>
      <c r="N522" s="24">
        <f t="shared" si="123"/>
        <v>495</v>
      </c>
      <c r="O522" s="24">
        <f t="shared" si="123"/>
        <v>495</v>
      </c>
      <c r="P522" s="215">
        <f t="shared" si="123"/>
        <v>495</v>
      </c>
    </row>
    <row r="523" spans="1:16" ht="15" hidden="1" customHeight="1" outlineLevel="1" x14ac:dyDescent="0.25">
      <c r="A523" s="39"/>
      <c r="B523" s="46"/>
      <c r="C523" s="246"/>
      <c r="D523" s="23" t="s">
        <v>207</v>
      </c>
      <c r="E523" s="20" t="s">
        <v>17</v>
      </c>
      <c r="F523" s="20" t="s">
        <v>250</v>
      </c>
      <c r="G523" s="20" t="s">
        <v>254</v>
      </c>
      <c r="H523" s="24">
        <v>275.60000000000002</v>
      </c>
      <c r="I523" s="24">
        <v>307.79000000000002</v>
      </c>
      <c r="J523" s="24">
        <v>200</v>
      </c>
      <c r="K523" s="24">
        <v>200</v>
      </c>
      <c r="L523" s="24">
        <f>M523/10*12</f>
        <v>258.68399999999997</v>
      </c>
      <c r="M523" s="24">
        <v>215.57</v>
      </c>
      <c r="N523" s="24">
        <v>300</v>
      </c>
      <c r="O523" s="24">
        <f t="shared" si="116"/>
        <v>300</v>
      </c>
      <c r="P523" s="215">
        <f t="shared" si="117"/>
        <v>300</v>
      </c>
    </row>
    <row r="524" spans="1:16" collapsed="1" x14ac:dyDescent="0.25">
      <c r="A524" s="39" t="s">
        <v>11</v>
      </c>
      <c r="B524" s="46" t="s">
        <v>507</v>
      </c>
      <c r="C524" s="246"/>
      <c r="D524" s="23" t="s">
        <v>590</v>
      </c>
      <c r="E524" s="20"/>
      <c r="F524" s="20"/>
      <c r="G524" s="20" t="s">
        <v>254</v>
      </c>
      <c r="H524" s="24">
        <f>SUM(H523)</f>
        <v>275.60000000000002</v>
      </c>
      <c r="I524" s="24">
        <f t="shared" ref="I524:P524" si="124">SUM(I523)</f>
        <v>307.79000000000002</v>
      </c>
      <c r="J524" s="24">
        <f t="shared" si="124"/>
        <v>200</v>
      </c>
      <c r="K524" s="24">
        <f t="shared" si="124"/>
        <v>200</v>
      </c>
      <c r="L524" s="24">
        <f t="shared" si="124"/>
        <v>258.68399999999997</v>
      </c>
      <c r="M524" s="24">
        <f t="shared" si="124"/>
        <v>215.57</v>
      </c>
      <c r="N524" s="24">
        <f t="shared" si="124"/>
        <v>300</v>
      </c>
      <c r="O524" s="24">
        <f t="shared" si="124"/>
        <v>300</v>
      </c>
      <c r="P524" s="215">
        <f t="shared" si="124"/>
        <v>300</v>
      </c>
    </row>
    <row r="525" spans="1:16" ht="15" hidden="1" customHeight="1" outlineLevel="1" x14ac:dyDescent="0.25">
      <c r="A525" s="39" t="s">
        <v>11</v>
      </c>
      <c r="B525" s="46" t="s">
        <v>507</v>
      </c>
      <c r="C525" s="246"/>
      <c r="D525" s="23" t="s">
        <v>128</v>
      </c>
      <c r="E525" s="20" t="s">
        <v>14</v>
      </c>
      <c r="F525" s="20" t="s">
        <v>250</v>
      </c>
      <c r="G525" s="20" t="s">
        <v>130</v>
      </c>
      <c r="H525" s="24">
        <v>20</v>
      </c>
      <c r="I525" s="24">
        <v>226</v>
      </c>
      <c r="J525" s="24">
        <v>100</v>
      </c>
      <c r="K525" s="24">
        <v>100</v>
      </c>
      <c r="L525" s="24">
        <v>100</v>
      </c>
      <c r="M525" s="24">
        <v>83.36</v>
      </c>
      <c r="N525" s="24">
        <v>100</v>
      </c>
      <c r="O525" s="24">
        <f t="shared" si="116"/>
        <v>100</v>
      </c>
      <c r="P525" s="215">
        <f t="shared" si="117"/>
        <v>100</v>
      </c>
    </row>
    <row r="526" spans="1:16" ht="15" hidden="1" customHeight="1" outlineLevel="1" x14ac:dyDescent="0.25">
      <c r="A526" s="39" t="s">
        <v>11</v>
      </c>
      <c r="B526" s="46" t="s">
        <v>507</v>
      </c>
      <c r="C526" s="246"/>
      <c r="D526" s="23" t="s">
        <v>135</v>
      </c>
      <c r="E526" s="20" t="s">
        <v>14</v>
      </c>
      <c r="F526" s="20" t="s">
        <v>250</v>
      </c>
      <c r="G526" s="20" t="s">
        <v>136</v>
      </c>
      <c r="H526" s="24">
        <v>0</v>
      </c>
      <c r="I526" s="24">
        <v>0</v>
      </c>
      <c r="J526" s="24">
        <v>0</v>
      </c>
      <c r="K526" s="24">
        <v>200</v>
      </c>
      <c r="L526" s="24">
        <v>200</v>
      </c>
      <c r="M526" s="24">
        <v>0</v>
      </c>
      <c r="N526" s="24">
        <v>200</v>
      </c>
      <c r="O526" s="24">
        <f t="shared" si="116"/>
        <v>200</v>
      </c>
      <c r="P526" s="215">
        <f t="shared" si="117"/>
        <v>200</v>
      </c>
    </row>
    <row r="527" spans="1:16" ht="15" hidden="1" customHeight="1" outlineLevel="1" x14ac:dyDescent="0.25">
      <c r="A527" s="39" t="s">
        <v>11</v>
      </c>
      <c r="B527" s="46" t="s">
        <v>507</v>
      </c>
      <c r="C527" s="246"/>
      <c r="D527" s="23" t="s">
        <v>142</v>
      </c>
      <c r="E527" s="20" t="s">
        <v>14</v>
      </c>
      <c r="F527" s="20" t="s">
        <v>250</v>
      </c>
      <c r="G527" s="20" t="s">
        <v>145</v>
      </c>
      <c r="H527" s="24">
        <v>15.5</v>
      </c>
      <c r="I527" s="24">
        <v>34.799999999999997</v>
      </c>
      <c r="J527" s="24">
        <v>0</v>
      </c>
      <c r="K527" s="24">
        <v>0</v>
      </c>
      <c r="L527" s="24">
        <f>M527/10*12</f>
        <v>0</v>
      </c>
      <c r="M527" s="24">
        <v>0</v>
      </c>
      <c r="N527" s="24">
        <v>0</v>
      </c>
      <c r="O527" s="24">
        <f t="shared" si="116"/>
        <v>0</v>
      </c>
      <c r="P527" s="215">
        <f t="shared" si="117"/>
        <v>0</v>
      </c>
    </row>
    <row r="528" spans="1:16" ht="15" hidden="1" customHeight="1" outlineLevel="1" x14ac:dyDescent="0.25">
      <c r="A528" s="39" t="s">
        <v>11</v>
      </c>
      <c r="B528" s="46" t="s">
        <v>507</v>
      </c>
      <c r="C528" s="246"/>
      <c r="D528" s="23" t="s">
        <v>142</v>
      </c>
      <c r="E528" s="20" t="s">
        <v>17</v>
      </c>
      <c r="F528" s="20" t="s">
        <v>250</v>
      </c>
      <c r="G528" s="20" t="s">
        <v>145</v>
      </c>
      <c r="H528" s="24">
        <v>32.94</v>
      </c>
      <c r="I528" s="24">
        <v>23.12</v>
      </c>
      <c r="J528" s="24">
        <v>70</v>
      </c>
      <c r="K528" s="24">
        <v>70</v>
      </c>
      <c r="L528" s="24">
        <f>M528/10*12</f>
        <v>14.52</v>
      </c>
      <c r="M528" s="24">
        <v>12.1</v>
      </c>
      <c r="N528" s="24">
        <v>50</v>
      </c>
      <c r="O528" s="24">
        <f t="shared" si="116"/>
        <v>50</v>
      </c>
      <c r="P528" s="215">
        <f t="shared" si="117"/>
        <v>50</v>
      </c>
    </row>
    <row r="529" spans="1:21" ht="15" hidden="1" customHeight="1" outlineLevel="1" x14ac:dyDescent="0.25">
      <c r="A529" s="39" t="s">
        <v>11</v>
      </c>
      <c r="B529" s="46" t="s">
        <v>507</v>
      </c>
      <c r="C529" s="246"/>
      <c r="D529" s="23" t="s">
        <v>151</v>
      </c>
      <c r="E529" s="20" t="s">
        <v>14</v>
      </c>
      <c r="F529" s="20" t="s">
        <v>250</v>
      </c>
      <c r="G529" s="20" t="s">
        <v>152</v>
      </c>
      <c r="H529" s="24">
        <v>812.53</v>
      </c>
      <c r="I529" s="24">
        <v>840.32</v>
      </c>
      <c r="J529" s="24">
        <v>850</v>
      </c>
      <c r="K529" s="24">
        <v>850</v>
      </c>
      <c r="L529" s="24">
        <f>M529+2*2*2.55*15</f>
        <v>802.48</v>
      </c>
      <c r="M529" s="24">
        <v>649.48</v>
      </c>
      <c r="N529" s="24">
        <v>1122</v>
      </c>
      <c r="O529" s="24">
        <f t="shared" si="116"/>
        <v>1122</v>
      </c>
      <c r="P529" s="215">
        <f t="shared" si="117"/>
        <v>1122</v>
      </c>
    </row>
    <row r="530" spans="1:21" ht="15" hidden="1" customHeight="1" outlineLevel="1" x14ac:dyDescent="0.25">
      <c r="A530" s="15"/>
      <c r="B530" s="16"/>
      <c r="C530" s="246"/>
      <c r="D530" s="23" t="s">
        <v>155</v>
      </c>
      <c r="E530" s="20" t="s">
        <v>14</v>
      </c>
      <c r="F530" s="20" t="s">
        <v>250</v>
      </c>
      <c r="G530" s="20" t="s">
        <v>156</v>
      </c>
      <c r="H530" s="24">
        <v>227.81</v>
      </c>
      <c r="I530" s="24">
        <v>266.81</v>
      </c>
      <c r="J530" s="24">
        <v>300</v>
      </c>
      <c r="K530" s="24">
        <v>300</v>
      </c>
      <c r="L530" s="24">
        <v>239.79</v>
      </c>
      <c r="M530" s="24">
        <v>193.64</v>
      </c>
      <c r="N530" s="24">
        <f>T530-U530</f>
        <v>249.75</v>
      </c>
      <c r="O530" s="24">
        <f t="shared" si="116"/>
        <v>249.75</v>
      </c>
      <c r="P530" s="215">
        <f t="shared" si="117"/>
        <v>249.75</v>
      </c>
      <c r="T530" s="36">
        <v>250.76</v>
      </c>
      <c r="U530" s="36">
        <v>1.01</v>
      </c>
    </row>
    <row r="531" spans="1:21" ht="15.75" collapsed="1" thickBot="1" x14ac:dyDescent="0.3">
      <c r="A531" s="15"/>
      <c r="B531" s="16"/>
      <c r="C531" s="246"/>
      <c r="D531" s="30" t="s">
        <v>478</v>
      </c>
      <c r="E531" s="22"/>
      <c r="F531" s="22"/>
      <c r="G531" s="22" t="s">
        <v>479</v>
      </c>
      <c r="H531" s="29">
        <f>SUM(H525:H530)</f>
        <v>1108.78</v>
      </c>
      <c r="I531" s="29">
        <f t="shared" ref="I531:P531" si="125">SUM(I525:I530)</f>
        <v>1391.05</v>
      </c>
      <c r="J531" s="29">
        <f t="shared" si="125"/>
        <v>1320</v>
      </c>
      <c r="K531" s="29">
        <f t="shared" si="125"/>
        <v>1520</v>
      </c>
      <c r="L531" s="29">
        <f t="shared" si="125"/>
        <v>1356.79</v>
      </c>
      <c r="M531" s="29">
        <f t="shared" si="125"/>
        <v>938.58</v>
      </c>
      <c r="N531" s="29">
        <f t="shared" si="125"/>
        <v>1721.75</v>
      </c>
      <c r="O531" s="29">
        <f t="shared" si="125"/>
        <v>1721.75</v>
      </c>
      <c r="P531" s="217">
        <f t="shared" si="125"/>
        <v>1721.75</v>
      </c>
    </row>
    <row r="532" spans="1:21" ht="15.75" thickBot="1" x14ac:dyDescent="0.3">
      <c r="A532" s="82" t="s">
        <v>629</v>
      </c>
      <c r="B532" s="83"/>
      <c r="C532" s="247"/>
      <c r="D532" s="84" t="s">
        <v>593</v>
      </c>
      <c r="E532" s="85"/>
      <c r="F532" s="85"/>
      <c r="G532" s="85" t="s">
        <v>560</v>
      </c>
      <c r="H532" s="86">
        <f>H531+H524+H522+H516+H510+H508+H498</f>
        <v>28423.9</v>
      </c>
      <c r="I532" s="86">
        <f t="shared" ref="I532:P532" si="126">I531+I524+I522+I516+I510+I508+I498</f>
        <v>30663.279999999999</v>
      </c>
      <c r="J532" s="86">
        <f t="shared" si="126"/>
        <v>34206</v>
      </c>
      <c r="K532" s="86">
        <f t="shared" si="126"/>
        <v>36117.54</v>
      </c>
      <c r="L532" s="86">
        <f t="shared" si="126"/>
        <v>35626.392</v>
      </c>
      <c r="M532" s="86">
        <f t="shared" si="126"/>
        <v>28280.9</v>
      </c>
      <c r="N532" s="86">
        <f t="shared" si="126"/>
        <v>38920.75</v>
      </c>
      <c r="O532" s="86">
        <f t="shared" si="126"/>
        <v>38920.75</v>
      </c>
      <c r="P532" s="87">
        <f t="shared" si="126"/>
        <v>38920.75</v>
      </c>
    </row>
    <row r="533" spans="1:21" ht="15.75" thickBot="1" x14ac:dyDescent="0.3">
      <c r="A533" s="1" t="s">
        <v>11</v>
      </c>
      <c r="B533" s="13" t="s">
        <v>512</v>
      </c>
      <c r="C533" s="161" t="s">
        <v>631</v>
      </c>
      <c r="D533" s="162"/>
      <c r="E533" s="163"/>
      <c r="F533" s="164"/>
      <c r="G533" s="164" t="s">
        <v>630</v>
      </c>
      <c r="H533" s="164">
        <f>H534+H535</f>
        <v>12734.43</v>
      </c>
      <c r="I533" s="164">
        <f t="shared" ref="I533:P533" si="127">I534+I535</f>
        <v>45155.42</v>
      </c>
      <c r="J533" s="164">
        <f t="shared" si="127"/>
        <v>25000</v>
      </c>
      <c r="K533" s="164">
        <f t="shared" si="127"/>
        <v>25000</v>
      </c>
      <c r="L533" s="164">
        <f t="shared" si="127"/>
        <v>23500</v>
      </c>
      <c r="M533" s="164">
        <f t="shared" si="127"/>
        <v>3352.5600000000004</v>
      </c>
      <c r="N533" s="164">
        <f t="shared" si="127"/>
        <v>20000</v>
      </c>
      <c r="O533" s="164">
        <f t="shared" si="127"/>
        <v>20000</v>
      </c>
      <c r="P533" s="165">
        <f t="shared" si="127"/>
        <v>20000</v>
      </c>
    </row>
    <row r="534" spans="1:21" hidden="1" outlineLevel="1" x14ac:dyDescent="0.25">
      <c r="A534" s="39" t="s">
        <v>11</v>
      </c>
      <c r="B534" s="46" t="s">
        <v>512</v>
      </c>
      <c r="C534" s="200" t="s">
        <v>255</v>
      </c>
      <c r="D534" s="40" t="s">
        <v>88</v>
      </c>
      <c r="E534" s="40" t="s">
        <v>17</v>
      </c>
      <c r="F534" s="40" t="s">
        <v>256</v>
      </c>
      <c r="G534" s="40" t="s">
        <v>92</v>
      </c>
      <c r="H534" s="41">
        <v>457.27</v>
      </c>
      <c r="I534" s="41">
        <v>3636.68</v>
      </c>
      <c r="J534" s="41">
        <v>10000</v>
      </c>
      <c r="K534" s="41">
        <v>10000</v>
      </c>
      <c r="L534" s="41">
        <v>9000</v>
      </c>
      <c r="M534" s="41">
        <v>2459.7600000000002</v>
      </c>
      <c r="N534" s="41">
        <v>10000</v>
      </c>
      <c r="O534" s="41">
        <f t="shared" ref="O534:O535" si="128">N534</f>
        <v>10000</v>
      </c>
      <c r="P534" s="201">
        <f t="shared" ref="P534:P535" si="129">N534</f>
        <v>10000</v>
      </c>
    </row>
    <row r="535" spans="1:21" ht="15.75" hidden="1" outlineLevel="1" thickBot="1" x14ac:dyDescent="0.3">
      <c r="A535" s="56" t="s">
        <v>11</v>
      </c>
      <c r="B535" s="110" t="s">
        <v>496</v>
      </c>
      <c r="C535" s="202" t="s">
        <v>255</v>
      </c>
      <c r="D535" s="39" t="s">
        <v>116</v>
      </c>
      <c r="E535" s="39" t="s">
        <v>17</v>
      </c>
      <c r="F535" s="39" t="s">
        <v>256</v>
      </c>
      <c r="G535" s="39" t="s">
        <v>117</v>
      </c>
      <c r="H535" s="42">
        <v>12277.16</v>
      </c>
      <c r="I535" s="42">
        <v>41518.74</v>
      </c>
      <c r="J535" s="42">
        <v>15000</v>
      </c>
      <c r="K535" s="42">
        <v>15000</v>
      </c>
      <c r="L535" s="42">
        <v>14500</v>
      </c>
      <c r="M535" s="42">
        <v>892.8</v>
      </c>
      <c r="N535" s="42">
        <v>10000</v>
      </c>
      <c r="O535" s="42">
        <f t="shared" si="128"/>
        <v>10000</v>
      </c>
      <c r="P535" s="203">
        <f t="shared" si="129"/>
        <v>10000</v>
      </c>
    </row>
    <row r="536" spans="1:21" ht="15.75" collapsed="1" thickBot="1" x14ac:dyDescent="0.3">
      <c r="A536" s="1" t="s">
        <v>11</v>
      </c>
      <c r="B536" s="13" t="s">
        <v>510</v>
      </c>
      <c r="C536" s="161" t="s">
        <v>634</v>
      </c>
      <c r="D536" s="162"/>
      <c r="E536" s="163"/>
      <c r="F536" s="164"/>
      <c r="G536" s="164" t="s">
        <v>635</v>
      </c>
      <c r="H536" s="164">
        <f>H542+H544</f>
        <v>85054.37</v>
      </c>
      <c r="I536" s="164">
        <f t="shared" ref="I536:P536" si="130">I542+I544</f>
        <v>87518.5</v>
      </c>
      <c r="J536" s="164">
        <f t="shared" si="130"/>
        <v>92088.7</v>
      </c>
      <c r="K536" s="164">
        <f t="shared" si="130"/>
        <v>88000</v>
      </c>
      <c r="L536" s="164">
        <f t="shared" si="130"/>
        <v>87900</v>
      </c>
      <c r="M536" s="164">
        <f t="shared" si="130"/>
        <v>68822.049999999988</v>
      </c>
      <c r="N536" s="164">
        <f t="shared" si="130"/>
        <v>136000</v>
      </c>
      <c r="O536" s="164">
        <f t="shared" si="130"/>
        <v>143000</v>
      </c>
      <c r="P536" s="165">
        <f t="shared" si="130"/>
        <v>148000</v>
      </c>
    </row>
    <row r="537" spans="1:21" hidden="1" outlineLevel="1" x14ac:dyDescent="0.25">
      <c r="A537" s="39" t="s">
        <v>11</v>
      </c>
      <c r="B537" s="46" t="s">
        <v>510</v>
      </c>
      <c r="C537" s="200" t="s">
        <v>257</v>
      </c>
      <c r="D537" s="40" t="s">
        <v>13</v>
      </c>
      <c r="E537" s="40" t="s">
        <v>14</v>
      </c>
      <c r="F537" s="40" t="s">
        <v>258</v>
      </c>
      <c r="G537" s="40" t="s">
        <v>16</v>
      </c>
      <c r="H537" s="41">
        <v>0</v>
      </c>
      <c r="I537" s="41">
        <v>0</v>
      </c>
      <c r="J537" s="41">
        <v>3030</v>
      </c>
      <c r="K537" s="27">
        <v>0</v>
      </c>
      <c r="L537" s="41">
        <v>0</v>
      </c>
      <c r="M537" s="41">
        <v>0</v>
      </c>
      <c r="N537" s="41">
        <v>0</v>
      </c>
      <c r="O537" s="41">
        <f t="shared" ref="O537:O538" si="131">N537</f>
        <v>0</v>
      </c>
      <c r="P537" s="201">
        <f t="shared" ref="P537:P538" si="132">N537</f>
        <v>0</v>
      </c>
    </row>
    <row r="538" spans="1:21" hidden="1" outlineLevel="1" x14ac:dyDescent="0.25">
      <c r="A538" s="39"/>
      <c r="B538" s="46"/>
      <c r="C538" s="202" t="s">
        <v>257</v>
      </c>
      <c r="D538" s="39" t="s">
        <v>32</v>
      </c>
      <c r="E538" s="39" t="s">
        <v>14</v>
      </c>
      <c r="F538" s="39" t="s">
        <v>258</v>
      </c>
      <c r="G538" s="39" t="s">
        <v>185</v>
      </c>
      <c r="H538" s="42">
        <v>0</v>
      </c>
      <c r="I538" s="42">
        <v>0</v>
      </c>
      <c r="J538" s="42">
        <v>1058.7</v>
      </c>
      <c r="K538" s="24">
        <v>0</v>
      </c>
      <c r="L538" s="42">
        <v>0</v>
      </c>
      <c r="M538" s="42">
        <v>0</v>
      </c>
      <c r="N538" s="42">
        <v>0</v>
      </c>
      <c r="O538" s="42">
        <f t="shared" si="131"/>
        <v>0</v>
      </c>
      <c r="P538" s="203">
        <f t="shared" si="132"/>
        <v>0</v>
      </c>
    </row>
    <row r="539" spans="1:21" hidden="1" outlineLevel="1" x14ac:dyDescent="0.25">
      <c r="A539" s="39" t="s">
        <v>11</v>
      </c>
      <c r="B539" s="46" t="s">
        <v>510</v>
      </c>
      <c r="C539" s="202"/>
      <c r="D539" s="39" t="s">
        <v>470</v>
      </c>
      <c r="E539" s="39" t="s">
        <v>17</v>
      </c>
      <c r="F539" s="39" t="s">
        <v>258</v>
      </c>
      <c r="G539" s="39" t="s">
        <v>599</v>
      </c>
      <c r="H539" s="42"/>
      <c r="I539" s="42"/>
      <c r="J539" s="42"/>
      <c r="K539" s="24"/>
      <c r="L539" s="42"/>
      <c r="M539" s="42"/>
      <c r="N539" s="9">
        <v>6000</v>
      </c>
      <c r="O539" s="42"/>
      <c r="P539" s="203"/>
      <c r="Q539" s="36">
        <v>14700</v>
      </c>
    </row>
    <row r="540" spans="1:21" hidden="1" outlineLevel="1" x14ac:dyDescent="0.25">
      <c r="A540" s="39" t="s">
        <v>11</v>
      </c>
      <c r="B540" s="46" t="s">
        <v>510</v>
      </c>
      <c r="C540" s="202"/>
      <c r="D540" s="39" t="s">
        <v>135</v>
      </c>
      <c r="E540" s="39"/>
      <c r="F540" s="39"/>
      <c r="G540" s="39" t="s">
        <v>600</v>
      </c>
      <c r="H540" s="42"/>
      <c r="I540" s="42"/>
      <c r="J540" s="42"/>
      <c r="K540" s="42"/>
      <c r="L540" s="42"/>
      <c r="M540" s="42"/>
      <c r="N540" s="42">
        <v>5000</v>
      </c>
      <c r="O540" s="42">
        <v>10000</v>
      </c>
      <c r="P540" s="203">
        <v>10000</v>
      </c>
    </row>
    <row r="541" spans="1:21" hidden="1" outlineLevel="1" x14ac:dyDescent="0.25">
      <c r="A541" s="39" t="s">
        <v>11</v>
      </c>
      <c r="B541" s="46" t="s">
        <v>511</v>
      </c>
      <c r="C541" s="202" t="s">
        <v>257</v>
      </c>
      <c r="D541" s="39" t="s">
        <v>135</v>
      </c>
      <c r="E541" s="39" t="s">
        <v>17</v>
      </c>
      <c r="F541" s="39" t="s">
        <v>258</v>
      </c>
      <c r="G541" s="39" t="s">
        <v>259</v>
      </c>
      <c r="H541" s="42">
        <v>38416.629999999997</v>
      </c>
      <c r="I541" s="42">
        <v>36860.370000000003</v>
      </c>
      <c r="J541" s="42">
        <v>38000</v>
      </c>
      <c r="K541" s="42">
        <v>38000</v>
      </c>
      <c r="L541" s="42">
        <v>38000</v>
      </c>
      <c r="M541" s="42">
        <v>28895.21</v>
      </c>
      <c r="N541" s="42">
        <v>56000</v>
      </c>
      <c r="O541" s="42">
        <v>60000</v>
      </c>
      <c r="P541" s="203">
        <v>60000</v>
      </c>
    </row>
    <row r="542" spans="1:21" ht="15.75" collapsed="1" thickBot="1" x14ac:dyDescent="0.3">
      <c r="A542" s="39"/>
      <c r="B542" s="46"/>
      <c r="C542" s="221"/>
      <c r="D542" s="172" t="s">
        <v>593</v>
      </c>
      <c r="E542" s="172"/>
      <c r="F542" s="172"/>
      <c r="G542" s="25" t="s">
        <v>716</v>
      </c>
      <c r="H542" s="19">
        <f>SUM(H537:H541)</f>
        <v>38416.629999999997</v>
      </c>
      <c r="I542" s="19">
        <f t="shared" ref="I542:P542" si="133">SUM(I537:I541)</f>
        <v>36860.370000000003</v>
      </c>
      <c r="J542" s="19">
        <f t="shared" si="133"/>
        <v>42088.7</v>
      </c>
      <c r="K542" s="19">
        <f t="shared" si="133"/>
        <v>38000</v>
      </c>
      <c r="L542" s="19">
        <f t="shared" si="133"/>
        <v>38000</v>
      </c>
      <c r="M542" s="19">
        <f t="shared" si="133"/>
        <v>28895.21</v>
      </c>
      <c r="N542" s="19">
        <f t="shared" si="133"/>
        <v>67000</v>
      </c>
      <c r="O542" s="19">
        <f t="shared" si="133"/>
        <v>70000</v>
      </c>
      <c r="P542" s="220">
        <f t="shared" si="133"/>
        <v>70000</v>
      </c>
    </row>
    <row r="543" spans="1:21" ht="15.75" hidden="1" outlineLevel="1" thickBot="1" x14ac:dyDescent="0.3">
      <c r="A543" s="39"/>
      <c r="B543" s="46"/>
      <c r="C543" s="202" t="s">
        <v>257</v>
      </c>
      <c r="D543" s="39" t="s">
        <v>135</v>
      </c>
      <c r="E543" s="39" t="s">
        <v>17</v>
      </c>
      <c r="F543" s="39" t="s">
        <v>258</v>
      </c>
      <c r="G543" s="39" t="s">
        <v>260</v>
      </c>
      <c r="H543" s="42">
        <v>46637.74</v>
      </c>
      <c r="I543" s="42">
        <v>50658.13</v>
      </c>
      <c r="J543" s="42">
        <v>50000</v>
      </c>
      <c r="K543" s="42">
        <v>50000</v>
      </c>
      <c r="L543" s="42">
        <v>49900</v>
      </c>
      <c r="M543" s="42">
        <v>39926.839999999997</v>
      </c>
      <c r="N543" s="42">
        <v>69000</v>
      </c>
      <c r="O543" s="42">
        <v>73000</v>
      </c>
      <c r="P543" s="203">
        <v>78000</v>
      </c>
    </row>
    <row r="544" spans="1:21" ht="15.75" collapsed="1" thickBot="1" x14ac:dyDescent="0.3">
      <c r="A544" s="7" t="s">
        <v>11</v>
      </c>
      <c r="B544" s="77" t="s">
        <v>548</v>
      </c>
      <c r="C544" s="104"/>
      <c r="D544" s="18" t="s">
        <v>593</v>
      </c>
      <c r="E544" s="15"/>
      <c r="F544" s="15"/>
      <c r="G544" s="15" t="s">
        <v>717</v>
      </c>
      <c r="H544" s="19">
        <f>SUM(H543:H543)</f>
        <v>46637.74</v>
      </c>
      <c r="I544" s="19">
        <f t="shared" ref="I544:P544" si="134">SUM(I543:I543)</f>
        <v>50658.13</v>
      </c>
      <c r="J544" s="19">
        <f t="shared" si="134"/>
        <v>50000</v>
      </c>
      <c r="K544" s="19">
        <f t="shared" si="134"/>
        <v>50000</v>
      </c>
      <c r="L544" s="19">
        <f t="shared" si="134"/>
        <v>49900</v>
      </c>
      <c r="M544" s="19">
        <f t="shared" si="134"/>
        <v>39926.839999999997</v>
      </c>
      <c r="N544" s="19">
        <f t="shared" si="134"/>
        <v>69000</v>
      </c>
      <c r="O544" s="19">
        <f t="shared" si="134"/>
        <v>73000</v>
      </c>
      <c r="P544" s="220">
        <f t="shared" si="134"/>
        <v>78000</v>
      </c>
    </row>
    <row r="545" spans="1:16" ht="15.75" thickBot="1" x14ac:dyDescent="0.3">
      <c r="A545" s="1" t="s">
        <v>11</v>
      </c>
      <c r="B545" s="13" t="s">
        <v>538</v>
      </c>
      <c r="C545" s="161" t="s">
        <v>636</v>
      </c>
      <c r="D545" s="162"/>
      <c r="E545" s="163"/>
      <c r="F545" s="164"/>
      <c r="G545" s="164" t="s">
        <v>637</v>
      </c>
      <c r="H545" s="164">
        <f>H548+H558+H560+H566+H570+H576</f>
        <v>8422.98</v>
      </c>
      <c r="I545" s="164">
        <f>I577</f>
        <v>11249.95</v>
      </c>
      <c r="J545" s="164">
        <f t="shared" ref="J545:P545" si="135">J577</f>
        <v>12953</v>
      </c>
      <c r="K545" s="164">
        <f t="shared" si="135"/>
        <v>12953</v>
      </c>
      <c r="L545" s="164">
        <f t="shared" si="135"/>
        <v>15453.088</v>
      </c>
      <c r="M545" s="164">
        <f t="shared" si="135"/>
        <v>12331.72</v>
      </c>
      <c r="N545" s="164">
        <f t="shared" si="135"/>
        <v>17197</v>
      </c>
      <c r="O545" s="164">
        <f t="shared" si="135"/>
        <v>17197</v>
      </c>
      <c r="P545" s="165">
        <f t="shared" si="135"/>
        <v>17197</v>
      </c>
    </row>
    <row r="546" spans="1:16" ht="15.75" hidden="1" outlineLevel="1" thickBot="1" x14ac:dyDescent="0.3">
      <c r="A546" s="45"/>
      <c r="B546" s="212" t="s">
        <v>538</v>
      </c>
      <c r="C546" s="200" t="s">
        <v>261</v>
      </c>
      <c r="D546" s="40" t="s">
        <v>13</v>
      </c>
      <c r="E546" s="40" t="s">
        <v>263</v>
      </c>
      <c r="F546" s="40" t="s">
        <v>262</v>
      </c>
      <c r="G546" s="40" t="s">
        <v>19</v>
      </c>
      <c r="H546" s="41">
        <f>1359.52+3968.8</f>
        <v>5328.32</v>
      </c>
      <c r="I546" s="41">
        <f>2042.41+4935.12+720.37</f>
        <v>7697.9</v>
      </c>
      <c r="J546" s="41">
        <v>8694</v>
      </c>
      <c r="K546" s="41">
        <v>8694</v>
      </c>
      <c r="L546" s="41">
        <v>10822.5</v>
      </c>
      <c r="M546" s="41">
        <v>8622.5</v>
      </c>
      <c r="N546" s="41">
        <v>11593</v>
      </c>
      <c r="O546" s="41">
        <f t="shared" ref="O546:O575" si="136">N546</f>
        <v>11593</v>
      </c>
      <c r="P546" s="201">
        <f t="shared" ref="P546:P575" si="137">N546</f>
        <v>11593</v>
      </c>
    </row>
    <row r="547" spans="1:16" ht="15.75" hidden="1" outlineLevel="1" thickBot="1" x14ac:dyDescent="0.3">
      <c r="A547" s="89" t="s">
        <v>11</v>
      </c>
      <c r="B547" s="90"/>
      <c r="C547" s="204" t="s">
        <v>261</v>
      </c>
      <c r="D547" s="39" t="s">
        <v>549</v>
      </c>
      <c r="E547" s="39" t="s">
        <v>17</v>
      </c>
      <c r="F547" s="39" t="s">
        <v>262</v>
      </c>
      <c r="G547" s="39" t="s">
        <v>550</v>
      </c>
      <c r="H547" s="42">
        <v>0</v>
      </c>
      <c r="I547" s="42">
        <v>0</v>
      </c>
      <c r="J547" s="42">
        <v>0</v>
      </c>
      <c r="K547" s="42">
        <v>0</v>
      </c>
      <c r="L547" s="42">
        <v>0</v>
      </c>
      <c r="M547" s="42">
        <v>0</v>
      </c>
      <c r="N547" s="42">
        <v>275</v>
      </c>
      <c r="O547" s="42">
        <f>N547</f>
        <v>275</v>
      </c>
      <c r="P547" s="203">
        <f>N547</f>
        <v>275</v>
      </c>
    </row>
    <row r="548" spans="1:16" collapsed="1" x14ac:dyDescent="0.25">
      <c r="A548" s="91"/>
      <c r="B548" s="92"/>
      <c r="C548" s="194"/>
      <c r="D548" s="47" t="s">
        <v>468</v>
      </c>
      <c r="E548" s="39"/>
      <c r="F548" s="39"/>
      <c r="G548" s="20" t="s">
        <v>610</v>
      </c>
      <c r="H548" s="24">
        <f>SUM(H546:H547)</f>
        <v>5328.32</v>
      </c>
      <c r="I548" s="24">
        <f t="shared" ref="I548:P548" si="138">SUM(I546:I547)</f>
        <v>7697.9</v>
      </c>
      <c r="J548" s="24">
        <f t="shared" si="138"/>
        <v>8694</v>
      </c>
      <c r="K548" s="24">
        <f t="shared" si="138"/>
        <v>8694</v>
      </c>
      <c r="L548" s="24">
        <f t="shared" si="138"/>
        <v>10822.5</v>
      </c>
      <c r="M548" s="24">
        <f t="shared" si="138"/>
        <v>8622.5</v>
      </c>
      <c r="N548" s="24">
        <f t="shared" si="138"/>
        <v>11868</v>
      </c>
      <c r="O548" s="24">
        <f t="shared" si="138"/>
        <v>11868</v>
      </c>
      <c r="P548" s="215">
        <f t="shared" si="138"/>
        <v>11868</v>
      </c>
    </row>
    <row r="549" spans="1:16" ht="15" hidden="1" customHeight="1" outlineLevel="1" x14ac:dyDescent="0.25">
      <c r="A549" s="91"/>
      <c r="B549" s="92"/>
      <c r="C549" s="195"/>
      <c r="D549" s="47" t="s">
        <v>22</v>
      </c>
      <c r="E549" s="39" t="s">
        <v>263</v>
      </c>
      <c r="F549" s="39" t="s">
        <v>262</v>
      </c>
      <c r="G549" s="20" t="s">
        <v>240</v>
      </c>
      <c r="H549" s="24">
        <v>539.19000000000005</v>
      </c>
      <c r="I549" s="24">
        <v>674</v>
      </c>
      <c r="J549" s="24">
        <v>870</v>
      </c>
      <c r="K549" s="24">
        <v>870</v>
      </c>
      <c r="L549" s="24">
        <v>1082.25</v>
      </c>
      <c r="M549" s="24">
        <v>862.25</v>
      </c>
      <c r="N549" s="24">
        <v>1159</v>
      </c>
      <c r="O549" s="24">
        <f t="shared" si="136"/>
        <v>1159</v>
      </c>
      <c r="P549" s="215">
        <f t="shared" si="137"/>
        <v>1159</v>
      </c>
    </row>
    <row r="550" spans="1:16" ht="15" hidden="1" customHeight="1" outlineLevel="1" x14ac:dyDescent="0.25">
      <c r="A550" s="91"/>
      <c r="B550" s="92"/>
      <c r="C550" s="195"/>
      <c r="D550" s="47" t="s">
        <v>52</v>
      </c>
      <c r="E550" s="39" t="s">
        <v>263</v>
      </c>
      <c r="F550" s="39" t="s">
        <v>262</v>
      </c>
      <c r="G550" s="20" t="s">
        <v>53</v>
      </c>
      <c r="H550" s="24">
        <v>33.54</v>
      </c>
      <c r="I550" s="24">
        <v>78.92</v>
      </c>
      <c r="J550" s="24">
        <v>120</v>
      </c>
      <c r="K550" s="24">
        <v>120</v>
      </c>
      <c r="L550" s="24">
        <v>0</v>
      </c>
      <c r="M550" s="24">
        <v>0</v>
      </c>
      <c r="N550" s="24">
        <v>0</v>
      </c>
      <c r="O550" s="24">
        <f t="shared" si="136"/>
        <v>0</v>
      </c>
      <c r="P550" s="215">
        <f t="shared" si="137"/>
        <v>0</v>
      </c>
    </row>
    <row r="551" spans="1:16" ht="15" hidden="1" customHeight="1" outlineLevel="1" x14ac:dyDescent="0.25">
      <c r="A551" s="91"/>
      <c r="B551" s="92"/>
      <c r="C551" s="195"/>
      <c r="D551" s="47" t="s">
        <v>29</v>
      </c>
      <c r="E551" s="39" t="s">
        <v>17</v>
      </c>
      <c r="F551" s="39" t="s">
        <v>262</v>
      </c>
      <c r="G551" s="20" t="s">
        <v>30</v>
      </c>
      <c r="H551" s="24">
        <v>275.02999999999997</v>
      </c>
      <c r="I551" s="24">
        <v>11.4</v>
      </c>
      <c r="J551" s="24">
        <v>0</v>
      </c>
      <c r="K551" s="24">
        <v>0</v>
      </c>
      <c r="L551" s="24">
        <v>0</v>
      </c>
      <c r="M551" s="24">
        <v>0</v>
      </c>
      <c r="N551" s="24">
        <v>0</v>
      </c>
      <c r="O551" s="24">
        <f t="shared" si="136"/>
        <v>0</v>
      </c>
      <c r="P551" s="215">
        <f t="shared" si="137"/>
        <v>0</v>
      </c>
    </row>
    <row r="552" spans="1:16" ht="15" hidden="1" customHeight="1" outlineLevel="1" x14ac:dyDescent="0.25">
      <c r="A552" s="91"/>
      <c r="B552" s="92"/>
      <c r="C552" s="195"/>
      <c r="D552" s="47" t="s">
        <v>29</v>
      </c>
      <c r="E552" s="39" t="s">
        <v>263</v>
      </c>
      <c r="F552" s="39" t="s">
        <v>262</v>
      </c>
      <c r="G552" s="20" t="s">
        <v>30</v>
      </c>
      <c r="H552" s="24">
        <v>74.989999999999995</v>
      </c>
      <c r="I552" s="24">
        <v>94</v>
      </c>
      <c r="J552" s="24">
        <v>122</v>
      </c>
      <c r="K552" s="24">
        <v>122</v>
      </c>
      <c r="L552" s="24">
        <v>151.46</v>
      </c>
      <c r="M552" s="24">
        <v>120.66</v>
      </c>
      <c r="N552" s="24">
        <v>162</v>
      </c>
      <c r="O552" s="24">
        <f t="shared" si="136"/>
        <v>162</v>
      </c>
      <c r="P552" s="215">
        <f t="shared" si="137"/>
        <v>162</v>
      </c>
    </row>
    <row r="553" spans="1:16" ht="15" hidden="1" customHeight="1" outlineLevel="1" x14ac:dyDescent="0.25">
      <c r="A553" s="91"/>
      <c r="B553" s="92"/>
      <c r="C553" s="195"/>
      <c r="D553" s="47" t="s">
        <v>32</v>
      </c>
      <c r="E553" s="39" t="s">
        <v>263</v>
      </c>
      <c r="F553" s="39" t="s">
        <v>262</v>
      </c>
      <c r="G553" s="20" t="s">
        <v>34</v>
      </c>
      <c r="H553" s="24">
        <v>475.12</v>
      </c>
      <c r="I553" s="24">
        <f>944+110.1</f>
        <v>1054.0999999999999</v>
      </c>
      <c r="J553" s="24">
        <v>1217</v>
      </c>
      <c r="K553" s="24">
        <v>1217</v>
      </c>
      <c r="L553" s="24">
        <v>1515.15</v>
      </c>
      <c r="M553" s="24">
        <v>1207.1500000000001</v>
      </c>
      <c r="N553" s="24">
        <v>1623</v>
      </c>
      <c r="O553" s="24">
        <f t="shared" si="136"/>
        <v>1623</v>
      </c>
      <c r="P553" s="215">
        <f t="shared" si="137"/>
        <v>1623</v>
      </c>
    </row>
    <row r="554" spans="1:16" ht="15" hidden="1" customHeight="1" outlineLevel="1" x14ac:dyDescent="0.25">
      <c r="A554" s="91"/>
      <c r="B554" s="92"/>
      <c r="C554" s="195"/>
      <c r="D554" s="47" t="s">
        <v>36</v>
      </c>
      <c r="E554" s="39" t="s">
        <v>263</v>
      </c>
      <c r="F554" s="39" t="s">
        <v>262</v>
      </c>
      <c r="G554" s="20" t="s">
        <v>38</v>
      </c>
      <c r="H554" s="24">
        <v>42.81</v>
      </c>
      <c r="I554" s="24">
        <f>54+6.24</f>
        <v>60.24</v>
      </c>
      <c r="J554" s="24">
        <v>70</v>
      </c>
      <c r="K554" s="24">
        <v>70</v>
      </c>
      <c r="L554" s="24">
        <v>86.539999999999992</v>
      </c>
      <c r="M554" s="24">
        <v>68.94</v>
      </c>
      <c r="N554" s="24">
        <v>93</v>
      </c>
      <c r="O554" s="24">
        <f t="shared" si="136"/>
        <v>93</v>
      </c>
      <c r="P554" s="215">
        <f t="shared" si="137"/>
        <v>93</v>
      </c>
    </row>
    <row r="555" spans="1:16" ht="15" hidden="1" customHeight="1" outlineLevel="1" x14ac:dyDescent="0.25">
      <c r="A555" s="91"/>
      <c r="B555" s="92"/>
      <c r="C555" s="195"/>
      <c r="D555" s="47" t="s">
        <v>40</v>
      </c>
      <c r="E555" s="39" t="s">
        <v>263</v>
      </c>
      <c r="F555" s="39" t="s">
        <v>262</v>
      </c>
      <c r="G555" s="20" t="s">
        <v>42</v>
      </c>
      <c r="H555" s="24">
        <v>160.75</v>
      </c>
      <c r="I555" s="24">
        <f>202+23.82</f>
        <v>225.82</v>
      </c>
      <c r="J555" s="24">
        <v>261</v>
      </c>
      <c r="K555" s="24">
        <v>261</v>
      </c>
      <c r="L555" s="24">
        <v>324.66000000000003</v>
      </c>
      <c r="M555" s="24">
        <v>258.66000000000003</v>
      </c>
      <c r="N555" s="24">
        <v>348</v>
      </c>
      <c r="O555" s="24">
        <f t="shared" si="136"/>
        <v>348</v>
      </c>
      <c r="P555" s="215">
        <f t="shared" si="137"/>
        <v>348</v>
      </c>
    </row>
    <row r="556" spans="1:16" ht="15" hidden="1" customHeight="1" outlineLevel="1" x14ac:dyDescent="0.25">
      <c r="A556" s="91"/>
      <c r="B556" s="92"/>
      <c r="C556" s="195"/>
      <c r="D556" s="47" t="s">
        <v>44</v>
      </c>
      <c r="E556" s="39" t="s">
        <v>263</v>
      </c>
      <c r="F556" s="39" t="s">
        <v>262</v>
      </c>
      <c r="G556" s="20" t="s">
        <v>46</v>
      </c>
      <c r="H556" s="24">
        <v>53.58</v>
      </c>
      <c r="I556" s="24">
        <f>67+8.23</f>
        <v>75.23</v>
      </c>
      <c r="J556" s="24">
        <v>87</v>
      </c>
      <c r="K556" s="24">
        <v>87</v>
      </c>
      <c r="L556" s="24">
        <v>108.21</v>
      </c>
      <c r="M556" s="24">
        <v>86.21</v>
      </c>
      <c r="N556" s="24">
        <v>116</v>
      </c>
      <c r="O556" s="24">
        <f t="shared" si="136"/>
        <v>116</v>
      </c>
      <c r="P556" s="215">
        <f t="shared" si="137"/>
        <v>116</v>
      </c>
    </row>
    <row r="557" spans="1:16" ht="15" hidden="1" customHeight="1" outlineLevel="1" x14ac:dyDescent="0.25">
      <c r="A557" s="91"/>
      <c r="B557" s="92"/>
      <c r="C557" s="195"/>
      <c r="D557" s="47" t="s">
        <v>48</v>
      </c>
      <c r="E557" s="39" t="s">
        <v>263</v>
      </c>
      <c r="F557" s="39" t="s">
        <v>262</v>
      </c>
      <c r="G557" s="20" t="s">
        <v>50</v>
      </c>
      <c r="H557" s="24">
        <v>254.51</v>
      </c>
      <c r="I557" s="24">
        <f>320+22.02</f>
        <v>342.02</v>
      </c>
      <c r="J557" s="24">
        <v>413</v>
      </c>
      <c r="K557" s="24">
        <v>413</v>
      </c>
      <c r="L557" s="24">
        <v>514.02</v>
      </c>
      <c r="M557" s="24">
        <v>409.52</v>
      </c>
      <c r="N557" s="24">
        <v>551</v>
      </c>
      <c r="O557" s="24">
        <f t="shared" si="136"/>
        <v>551</v>
      </c>
      <c r="P557" s="215">
        <f t="shared" si="137"/>
        <v>551</v>
      </c>
    </row>
    <row r="558" spans="1:16" collapsed="1" x14ac:dyDescent="0.25">
      <c r="A558" s="91"/>
      <c r="B558" s="92"/>
      <c r="C558" s="195"/>
      <c r="D558" s="47" t="s">
        <v>469</v>
      </c>
      <c r="E558" s="39"/>
      <c r="F558" s="39"/>
      <c r="G558" s="20" t="s">
        <v>472</v>
      </c>
      <c r="H558" s="24">
        <f t="shared" ref="H558:P558" si="139">SUM(H549:H557)</f>
        <v>1909.5199999999998</v>
      </c>
      <c r="I558" s="24">
        <f t="shared" si="139"/>
        <v>2615.73</v>
      </c>
      <c r="J558" s="24">
        <f t="shared" si="139"/>
        <v>3160</v>
      </c>
      <c r="K558" s="24">
        <f t="shared" si="139"/>
        <v>3160</v>
      </c>
      <c r="L558" s="24">
        <f t="shared" si="139"/>
        <v>3782.29</v>
      </c>
      <c r="M558" s="24">
        <f t="shared" si="139"/>
        <v>3013.39</v>
      </c>
      <c r="N558" s="24">
        <f t="shared" si="139"/>
        <v>4052</v>
      </c>
      <c r="O558" s="24">
        <f t="shared" si="139"/>
        <v>4052</v>
      </c>
      <c r="P558" s="215">
        <f t="shared" si="139"/>
        <v>4052</v>
      </c>
    </row>
    <row r="559" spans="1:16" ht="15" hidden="1" customHeight="1" outlineLevel="1" x14ac:dyDescent="0.25">
      <c r="A559" s="91"/>
      <c r="B559" s="92"/>
      <c r="C559" s="195"/>
      <c r="D559" s="47" t="s">
        <v>54</v>
      </c>
      <c r="E559" s="39" t="s">
        <v>17</v>
      </c>
      <c r="F559" s="39" t="s">
        <v>262</v>
      </c>
      <c r="G559" s="20" t="s">
        <v>221</v>
      </c>
      <c r="H559" s="24">
        <v>272.41000000000003</v>
      </c>
      <c r="I559" s="24">
        <v>9.5</v>
      </c>
      <c r="J559" s="24">
        <v>10</v>
      </c>
      <c r="K559" s="24">
        <v>10</v>
      </c>
      <c r="L559" s="24">
        <f t="shared" ref="L559:L573" si="140">M559/10*12</f>
        <v>0</v>
      </c>
      <c r="M559" s="24">
        <v>0</v>
      </c>
      <c r="N559" s="24">
        <v>10</v>
      </c>
      <c r="O559" s="24">
        <f t="shared" si="136"/>
        <v>10</v>
      </c>
      <c r="P559" s="215">
        <f t="shared" si="137"/>
        <v>10</v>
      </c>
    </row>
    <row r="560" spans="1:16" collapsed="1" x14ac:dyDescent="0.25">
      <c r="A560" s="91"/>
      <c r="B560" s="92"/>
      <c r="C560" s="195"/>
      <c r="D560" s="47" t="s">
        <v>480</v>
      </c>
      <c r="E560" s="39"/>
      <c r="F560" s="39"/>
      <c r="G560" s="20" t="s">
        <v>55</v>
      </c>
      <c r="H560" s="24">
        <f>SUM(H559)</f>
        <v>272.41000000000003</v>
      </c>
      <c r="I560" s="24">
        <f t="shared" ref="I560:P560" si="141">SUM(I559)</f>
        <v>9.5</v>
      </c>
      <c r="J560" s="24">
        <f t="shared" si="141"/>
        <v>10</v>
      </c>
      <c r="K560" s="24">
        <f t="shared" si="141"/>
        <v>10</v>
      </c>
      <c r="L560" s="24">
        <f t="shared" si="141"/>
        <v>0</v>
      </c>
      <c r="M560" s="24">
        <f t="shared" si="141"/>
        <v>0</v>
      </c>
      <c r="N560" s="24">
        <f t="shared" si="141"/>
        <v>10</v>
      </c>
      <c r="O560" s="24">
        <f t="shared" si="141"/>
        <v>10</v>
      </c>
      <c r="P560" s="215">
        <f t="shared" si="141"/>
        <v>10</v>
      </c>
    </row>
    <row r="561" spans="1:16" ht="15" hidden="1" customHeight="1" outlineLevel="1" x14ac:dyDescent="0.25">
      <c r="A561" s="91"/>
      <c r="B561" s="92"/>
      <c r="C561" s="195"/>
      <c r="D561" s="47" t="s">
        <v>56</v>
      </c>
      <c r="E561" s="39" t="s">
        <v>17</v>
      </c>
      <c r="F561" s="39" t="s">
        <v>262</v>
      </c>
      <c r="G561" s="20" t="s">
        <v>197</v>
      </c>
      <c r="H561" s="24">
        <v>81.22</v>
      </c>
      <c r="I561" s="24">
        <v>52.47</v>
      </c>
      <c r="J561" s="24">
        <v>100</v>
      </c>
      <c r="K561" s="24">
        <v>100</v>
      </c>
      <c r="L561" s="24">
        <f t="shared" si="140"/>
        <v>73.98</v>
      </c>
      <c r="M561" s="24">
        <v>61.65</v>
      </c>
      <c r="N561" s="24">
        <v>100</v>
      </c>
      <c r="O561" s="24">
        <f t="shared" si="136"/>
        <v>100</v>
      </c>
      <c r="P561" s="215">
        <f t="shared" si="137"/>
        <v>100</v>
      </c>
    </row>
    <row r="562" spans="1:16" ht="15" hidden="1" customHeight="1" outlineLevel="1" x14ac:dyDescent="0.25">
      <c r="A562" s="91"/>
      <c r="B562" s="92"/>
      <c r="C562" s="195"/>
      <c r="D562" s="47" t="s">
        <v>56</v>
      </c>
      <c r="E562" s="39" t="s">
        <v>17</v>
      </c>
      <c r="F562" s="39" t="s">
        <v>262</v>
      </c>
      <c r="G562" s="20" t="s">
        <v>198</v>
      </c>
      <c r="H562" s="24">
        <v>57.33</v>
      </c>
      <c r="I562" s="24">
        <v>90.76</v>
      </c>
      <c r="J562" s="24">
        <v>60</v>
      </c>
      <c r="K562" s="24">
        <v>60</v>
      </c>
      <c r="L562" s="24">
        <f t="shared" si="140"/>
        <v>49.44</v>
      </c>
      <c r="M562" s="24">
        <v>41.2</v>
      </c>
      <c r="N562" s="24">
        <v>60</v>
      </c>
      <c r="O562" s="24">
        <f t="shared" si="136"/>
        <v>60</v>
      </c>
      <c r="P562" s="215">
        <f t="shared" si="137"/>
        <v>60</v>
      </c>
    </row>
    <row r="563" spans="1:16" ht="15" hidden="1" customHeight="1" outlineLevel="1" x14ac:dyDescent="0.25">
      <c r="A563" s="91"/>
      <c r="B563" s="92"/>
      <c r="C563" s="195"/>
      <c r="D563" s="47" t="s">
        <v>65</v>
      </c>
      <c r="E563" s="39" t="s">
        <v>17</v>
      </c>
      <c r="F563" s="39" t="s">
        <v>262</v>
      </c>
      <c r="G563" s="20" t="s">
        <v>66</v>
      </c>
      <c r="H563" s="24">
        <v>73.650000000000006</v>
      </c>
      <c r="I563" s="24">
        <v>14.27</v>
      </c>
      <c r="J563" s="24">
        <v>70</v>
      </c>
      <c r="K563" s="24">
        <v>70</v>
      </c>
      <c r="L563" s="24">
        <f t="shared" si="140"/>
        <v>14.352000000000002</v>
      </c>
      <c r="M563" s="24">
        <v>11.96</v>
      </c>
      <c r="N563" s="24">
        <v>70</v>
      </c>
      <c r="O563" s="24">
        <f t="shared" si="136"/>
        <v>70</v>
      </c>
      <c r="P563" s="215">
        <f t="shared" si="137"/>
        <v>70</v>
      </c>
    </row>
    <row r="564" spans="1:16" ht="15" hidden="1" customHeight="1" outlineLevel="1" x14ac:dyDescent="0.25">
      <c r="A564" s="91"/>
      <c r="B564" s="92"/>
      <c r="C564" s="195"/>
      <c r="D564" s="47" t="s">
        <v>69</v>
      </c>
      <c r="E564" s="39" t="s">
        <v>17</v>
      </c>
      <c r="F564" s="39" t="s">
        <v>262</v>
      </c>
      <c r="G564" s="20" t="s">
        <v>71</v>
      </c>
      <c r="H564" s="24">
        <v>3.9</v>
      </c>
      <c r="I564" s="24">
        <v>0</v>
      </c>
      <c r="J564" s="24">
        <v>10</v>
      </c>
      <c r="K564" s="24">
        <v>10</v>
      </c>
      <c r="L564" s="24">
        <f t="shared" si="140"/>
        <v>0</v>
      </c>
      <c r="M564" s="24">
        <v>0</v>
      </c>
      <c r="N564" s="24">
        <v>10</v>
      </c>
      <c r="O564" s="24">
        <f t="shared" si="136"/>
        <v>10</v>
      </c>
      <c r="P564" s="215">
        <f t="shared" si="137"/>
        <v>10</v>
      </c>
    </row>
    <row r="565" spans="1:16" ht="15" hidden="1" customHeight="1" outlineLevel="1" x14ac:dyDescent="0.25">
      <c r="A565" s="91"/>
      <c r="B565" s="92"/>
      <c r="C565" s="195"/>
      <c r="D565" s="47" t="s">
        <v>74</v>
      </c>
      <c r="E565" s="39" t="s">
        <v>17</v>
      </c>
      <c r="F565" s="39" t="s">
        <v>262</v>
      </c>
      <c r="G565" s="20" t="s">
        <v>264</v>
      </c>
      <c r="H565" s="24">
        <v>60.61</v>
      </c>
      <c r="I565" s="24">
        <v>59.02</v>
      </c>
      <c r="J565" s="24">
        <v>70</v>
      </c>
      <c r="K565" s="24">
        <v>70</v>
      </c>
      <c r="L565" s="24">
        <f t="shared" si="140"/>
        <v>69.972000000000008</v>
      </c>
      <c r="M565" s="24">
        <v>58.31</v>
      </c>
      <c r="N565" s="24">
        <v>70</v>
      </c>
      <c r="O565" s="24">
        <f t="shared" si="136"/>
        <v>70</v>
      </c>
      <c r="P565" s="215">
        <f t="shared" si="137"/>
        <v>70</v>
      </c>
    </row>
    <row r="566" spans="1:16" collapsed="1" x14ac:dyDescent="0.25">
      <c r="A566" s="91"/>
      <c r="B566" s="92"/>
      <c r="C566" s="195"/>
      <c r="D566" s="47" t="s">
        <v>481</v>
      </c>
      <c r="E566" s="39"/>
      <c r="F566" s="39"/>
      <c r="G566" s="20" t="s">
        <v>567</v>
      </c>
      <c r="H566" s="24">
        <f>SUM(H561:H565)</f>
        <v>276.71000000000004</v>
      </c>
      <c r="I566" s="24">
        <f t="shared" ref="I566:P566" si="142">SUM(I561:I565)</f>
        <v>216.52000000000004</v>
      </c>
      <c r="J566" s="24">
        <f t="shared" si="142"/>
        <v>310</v>
      </c>
      <c r="K566" s="24">
        <f t="shared" si="142"/>
        <v>310</v>
      </c>
      <c r="L566" s="24">
        <f t="shared" si="142"/>
        <v>207.744</v>
      </c>
      <c r="M566" s="24">
        <f t="shared" si="142"/>
        <v>173.12</v>
      </c>
      <c r="N566" s="24">
        <f t="shared" si="142"/>
        <v>310</v>
      </c>
      <c r="O566" s="24">
        <f t="shared" si="142"/>
        <v>310</v>
      </c>
      <c r="P566" s="215">
        <f t="shared" si="142"/>
        <v>310</v>
      </c>
    </row>
    <row r="567" spans="1:16" ht="15" hidden="1" customHeight="1" outlineLevel="1" x14ac:dyDescent="0.25">
      <c r="A567" s="91"/>
      <c r="B567" s="92"/>
      <c r="C567" s="195"/>
      <c r="D567" s="47" t="s">
        <v>88</v>
      </c>
      <c r="E567" s="39" t="s">
        <v>17</v>
      </c>
      <c r="F567" s="39" t="s">
        <v>262</v>
      </c>
      <c r="G567" s="20" t="s">
        <v>200</v>
      </c>
      <c r="H567" s="24">
        <v>25.58</v>
      </c>
      <c r="I567" s="24">
        <v>15.57</v>
      </c>
      <c r="J567" s="24">
        <v>25</v>
      </c>
      <c r="K567" s="24">
        <v>37</v>
      </c>
      <c r="L567" s="24">
        <f t="shared" si="140"/>
        <v>42.012</v>
      </c>
      <c r="M567" s="24">
        <v>35.01</v>
      </c>
      <c r="N567" s="24">
        <v>50</v>
      </c>
      <c r="O567" s="24">
        <f t="shared" si="136"/>
        <v>50</v>
      </c>
      <c r="P567" s="215">
        <f t="shared" si="137"/>
        <v>50</v>
      </c>
    </row>
    <row r="568" spans="1:16" ht="15" hidden="1" customHeight="1" outlineLevel="1" x14ac:dyDescent="0.25">
      <c r="A568" s="91"/>
      <c r="B568" s="92"/>
      <c r="C568" s="195"/>
      <c r="D568" s="47" t="s">
        <v>103</v>
      </c>
      <c r="E568" s="39" t="s">
        <v>17</v>
      </c>
      <c r="F568" s="39" t="s">
        <v>262</v>
      </c>
      <c r="G568" s="20" t="s">
        <v>104</v>
      </c>
      <c r="H568" s="24">
        <v>20.83</v>
      </c>
      <c r="I568" s="24">
        <v>50</v>
      </c>
      <c r="J568" s="24">
        <v>50</v>
      </c>
      <c r="K568" s="24">
        <v>50</v>
      </c>
      <c r="L568" s="24">
        <f t="shared" si="140"/>
        <v>23.664000000000001</v>
      </c>
      <c r="M568" s="24">
        <v>19.72</v>
      </c>
      <c r="N568" s="24">
        <v>50</v>
      </c>
      <c r="O568" s="24">
        <f t="shared" si="136"/>
        <v>50</v>
      </c>
      <c r="P568" s="215">
        <f t="shared" si="137"/>
        <v>50</v>
      </c>
    </row>
    <row r="569" spans="1:16" ht="15" hidden="1" customHeight="1" outlineLevel="1" x14ac:dyDescent="0.25">
      <c r="A569" s="91"/>
      <c r="B569" s="92"/>
      <c r="C569" s="195"/>
      <c r="D569" s="47" t="s">
        <v>105</v>
      </c>
      <c r="E569" s="39" t="s">
        <v>17</v>
      </c>
      <c r="F569" s="39" t="s">
        <v>262</v>
      </c>
      <c r="G569" s="20" t="s">
        <v>106</v>
      </c>
      <c r="H569" s="24">
        <v>27.01</v>
      </c>
      <c r="I569" s="24">
        <v>16.3</v>
      </c>
      <c r="J569" s="24">
        <v>27</v>
      </c>
      <c r="K569" s="24">
        <v>15</v>
      </c>
      <c r="L569" s="24">
        <f t="shared" si="140"/>
        <v>12.852000000000002</v>
      </c>
      <c r="M569" s="24">
        <v>10.71</v>
      </c>
      <c r="N569" s="24">
        <v>100</v>
      </c>
      <c r="O569" s="24">
        <f t="shared" si="136"/>
        <v>100</v>
      </c>
      <c r="P569" s="215">
        <f t="shared" si="137"/>
        <v>100</v>
      </c>
    </row>
    <row r="570" spans="1:16" collapsed="1" x14ac:dyDescent="0.25">
      <c r="A570" s="91"/>
      <c r="B570" s="92"/>
      <c r="C570" s="195"/>
      <c r="D570" s="47" t="s">
        <v>470</v>
      </c>
      <c r="E570" s="39"/>
      <c r="F570" s="39"/>
      <c r="G570" s="20" t="s">
        <v>471</v>
      </c>
      <c r="H570" s="24">
        <f>SUM(H567:H569)</f>
        <v>73.42</v>
      </c>
      <c r="I570" s="24">
        <f t="shared" ref="I570:P570" si="143">SUM(I567:I569)</f>
        <v>81.86999999999999</v>
      </c>
      <c r="J570" s="24">
        <f t="shared" si="143"/>
        <v>102</v>
      </c>
      <c r="K570" s="24">
        <f t="shared" si="143"/>
        <v>102</v>
      </c>
      <c r="L570" s="24">
        <f t="shared" si="143"/>
        <v>78.528000000000006</v>
      </c>
      <c r="M570" s="24">
        <f t="shared" si="143"/>
        <v>65.44</v>
      </c>
      <c r="N570" s="24">
        <f t="shared" si="143"/>
        <v>200</v>
      </c>
      <c r="O570" s="24">
        <f t="shared" si="143"/>
        <v>200</v>
      </c>
      <c r="P570" s="215">
        <f t="shared" si="143"/>
        <v>200</v>
      </c>
    </row>
    <row r="571" spans="1:16" ht="15" hidden="1" customHeight="1" outlineLevel="1" x14ac:dyDescent="0.25">
      <c r="A571" s="91"/>
      <c r="B571" s="92"/>
      <c r="C571" s="195"/>
      <c r="D571" s="47" t="s">
        <v>128</v>
      </c>
      <c r="E571" s="39" t="s">
        <v>17</v>
      </c>
      <c r="F571" s="39" t="s">
        <v>262</v>
      </c>
      <c r="G571" s="20" t="s">
        <v>130</v>
      </c>
      <c r="H571" s="24">
        <v>20</v>
      </c>
      <c r="I571" s="24">
        <v>45</v>
      </c>
      <c r="J571" s="24">
        <v>26</v>
      </c>
      <c r="K571" s="24">
        <v>26</v>
      </c>
      <c r="L571" s="24">
        <f t="shared" si="140"/>
        <v>24.816000000000003</v>
      </c>
      <c r="M571" s="24">
        <v>20.68</v>
      </c>
      <c r="N571" s="24">
        <v>30</v>
      </c>
      <c r="O571" s="24">
        <f t="shared" si="136"/>
        <v>30</v>
      </c>
      <c r="P571" s="215">
        <f t="shared" si="137"/>
        <v>30</v>
      </c>
    </row>
    <row r="572" spans="1:16" ht="15" hidden="1" customHeight="1" outlineLevel="1" x14ac:dyDescent="0.25">
      <c r="A572" s="91"/>
      <c r="B572" s="92"/>
      <c r="C572" s="195"/>
      <c r="D572" s="47" t="s">
        <v>135</v>
      </c>
      <c r="E572" s="39" t="s">
        <v>17</v>
      </c>
      <c r="F572" s="39" t="s">
        <v>262</v>
      </c>
      <c r="G572" s="20" t="s">
        <v>136</v>
      </c>
      <c r="H572" s="24">
        <v>68.8</v>
      </c>
      <c r="I572" s="24">
        <v>0</v>
      </c>
      <c r="J572" s="24">
        <v>0</v>
      </c>
      <c r="K572" s="24">
        <v>0</v>
      </c>
      <c r="L572" s="24">
        <f t="shared" si="140"/>
        <v>0</v>
      </c>
      <c r="M572" s="24">
        <v>0</v>
      </c>
      <c r="N572" s="24">
        <v>0</v>
      </c>
      <c r="O572" s="24">
        <f t="shared" si="136"/>
        <v>0</v>
      </c>
      <c r="P572" s="215">
        <f t="shared" si="137"/>
        <v>0</v>
      </c>
    </row>
    <row r="573" spans="1:16" ht="15" hidden="1" customHeight="1" outlineLevel="1" x14ac:dyDescent="0.25">
      <c r="A573" s="91"/>
      <c r="B573" s="92"/>
      <c r="C573" s="195"/>
      <c r="D573" s="47" t="s">
        <v>142</v>
      </c>
      <c r="E573" s="39" t="s">
        <v>17</v>
      </c>
      <c r="F573" s="39" t="s">
        <v>262</v>
      </c>
      <c r="G573" s="20" t="s">
        <v>145</v>
      </c>
      <c r="H573" s="24">
        <v>45</v>
      </c>
      <c r="I573" s="24">
        <v>48.66</v>
      </c>
      <c r="J573" s="24">
        <v>60</v>
      </c>
      <c r="K573" s="24">
        <v>60</v>
      </c>
      <c r="L573" s="24">
        <f t="shared" si="140"/>
        <v>12.72</v>
      </c>
      <c r="M573" s="24">
        <v>10.6</v>
      </c>
      <c r="N573" s="24">
        <v>50</v>
      </c>
      <c r="O573" s="24">
        <f t="shared" si="136"/>
        <v>50</v>
      </c>
      <c r="P573" s="215">
        <f t="shared" si="137"/>
        <v>50</v>
      </c>
    </row>
    <row r="574" spans="1:16" ht="15" hidden="1" customHeight="1" outlineLevel="1" x14ac:dyDescent="0.25">
      <c r="A574" s="91"/>
      <c r="B574" s="92"/>
      <c r="C574" s="195"/>
      <c r="D574" s="47" t="s">
        <v>151</v>
      </c>
      <c r="E574" s="39" t="s">
        <v>17</v>
      </c>
      <c r="F574" s="39" t="s">
        <v>262</v>
      </c>
      <c r="G574" s="20" t="s">
        <v>152</v>
      </c>
      <c r="H574" s="24">
        <v>362.84</v>
      </c>
      <c r="I574" s="24">
        <f>193.25+261</f>
        <v>454.25</v>
      </c>
      <c r="J574" s="24">
        <v>477</v>
      </c>
      <c r="K574" s="24">
        <v>477</v>
      </c>
      <c r="L574" s="24">
        <f>M574+30*2.55</f>
        <v>413.72</v>
      </c>
      <c r="M574" s="24">
        <v>337.22</v>
      </c>
      <c r="N574" s="24">
        <v>561</v>
      </c>
      <c r="O574" s="24">
        <f t="shared" si="136"/>
        <v>561</v>
      </c>
      <c r="P574" s="215">
        <f t="shared" si="137"/>
        <v>561</v>
      </c>
    </row>
    <row r="575" spans="1:16" ht="15" hidden="1" customHeight="1" outlineLevel="1" x14ac:dyDescent="0.25">
      <c r="A575" s="91"/>
      <c r="B575" s="92"/>
      <c r="C575" s="195"/>
      <c r="D575" s="47" t="s">
        <v>155</v>
      </c>
      <c r="E575" s="39" t="s">
        <v>17</v>
      </c>
      <c r="F575" s="39" t="s">
        <v>262</v>
      </c>
      <c r="G575" s="20" t="s">
        <v>156</v>
      </c>
      <c r="H575" s="24">
        <v>65.959999999999994</v>
      </c>
      <c r="I575" s="24">
        <v>80.52</v>
      </c>
      <c r="J575" s="24">
        <v>114</v>
      </c>
      <c r="K575" s="24">
        <v>114</v>
      </c>
      <c r="L575" s="24">
        <v>110.77</v>
      </c>
      <c r="M575" s="24">
        <v>88.77</v>
      </c>
      <c r="N575" s="24">
        <v>116</v>
      </c>
      <c r="O575" s="24">
        <f t="shared" si="136"/>
        <v>116</v>
      </c>
      <c r="P575" s="215">
        <f t="shared" si="137"/>
        <v>116</v>
      </c>
    </row>
    <row r="576" spans="1:16" ht="15.75" collapsed="1" thickBot="1" x14ac:dyDescent="0.3">
      <c r="A576" s="93"/>
      <c r="B576" s="94"/>
      <c r="C576" s="195"/>
      <c r="D576" s="59" t="s">
        <v>478</v>
      </c>
      <c r="E576" s="45"/>
      <c r="F576" s="45"/>
      <c r="G576" s="22" t="s">
        <v>479</v>
      </c>
      <c r="H576" s="29">
        <f>SUM(H571:H575)</f>
        <v>562.6</v>
      </c>
      <c r="I576" s="29">
        <f t="shared" ref="I576:P576" si="144">SUM(I571:I575)</f>
        <v>628.42999999999995</v>
      </c>
      <c r="J576" s="29">
        <f t="shared" si="144"/>
        <v>677</v>
      </c>
      <c r="K576" s="29">
        <f t="shared" si="144"/>
        <v>677</v>
      </c>
      <c r="L576" s="29">
        <f t="shared" si="144"/>
        <v>562.02600000000007</v>
      </c>
      <c r="M576" s="29">
        <f t="shared" si="144"/>
        <v>457.27</v>
      </c>
      <c r="N576" s="29">
        <f t="shared" si="144"/>
        <v>757</v>
      </c>
      <c r="O576" s="29">
        <f t="shared" si="144"/>
        <v>757</v>
      </c>
      <c r="P576" s="217">
        <f t="shared" si="144"/>
        <v>757</v>
      </c>
    </row>
    <row r="577" spans="1:18" ht="15.75" thickBot="1" x14ac:dyDescent="0.3">
      <c r="A577" s="54"/>
      <c r="B577" s="95"/>
      <c r="C577" s="196"/>
      <c r="D577" s="84" t="s">
        <v>593</v>
      </c>
      <c r="E577" s="96"/>
      <c r="F577" s="96"/>
      <c r="G577" s="85" t="s">
        <v>638</v>
      </c>
      <c r="H577" s="86">
        <f>H576+H570+H566+H560+H558+H548</f>
        <v>8422.98</v>
      </c>
      <c r="I577" s="86">
        <f t="shared" ref="I577:P577" si="145">I576+I570+I566+I560+I558+I548</f>
        <v>11249.95</v>
      </c>
      <c r="J577" s="86">
        <f t="shared" si="145"/>
        <v>12953</v>
      </c>
      <c r="K577" s="86">
        <f t="shared" si="145"/>
        <v>12953</v>
      </c>
      <c r="L577" s="86">
        <f t="shared" si="145"/>
        <v>15453.088</v>
      </c>
      <c r="M577" s="86">
        <f t="shared" si="145"/>
        <v>12331.72</v>
      </c>
      <c r="N577" s="86">
        <f t="shared" si="145"/>
        <v>17197</v>
      </c>
      <c r="O577" s="86">
        <f t="shared" si="145"/>
        <v>17197</v>
      </c>
      <c r="P577" s="87">
        <f t="shared" si="145"/>
        <v>17197</v>
      </c>
    </row>
    <row r="578" spans="1:18" ht="15.75" thickBot="1" x14ac:dyDescent="0.3">
      <c r="A578" s="159"/>
      <c r="B578" s="3"/>
      <c r="C578" s="173" t="s">
        <v>639</v>
      </c>
      <c r="D578" s="162"/>
      <c r="E578" s="163"/>
      <c r="F578" s="164"/>
      <c r="G578" s="164" t="s">
        <v>640</v>
      </c>
      <c r="H578" s="164">
        <f>H594+H595</f>
        <v>253478.87</v>
      </c>
      <c r="I578" s="164">
        <f t="shared" ref="I578:P578" si="146">I594+I595</f>
        <v>272969.37</v>
      </c>
      <c r="J578" s="164">
        <f t="shared" si="146"/>
        <v>316099</v>
      </c>
      <c r="K578" s="164">
        <f t="shared" si="146"/>
        <v>317599</v>
      </c>
      <c r="L578" s="164">
        <f t="shared" si="146"/>
        <v>318299</v>
      </c>
      <c r="M578" s="164">
        <f t="shared" si="146"/>
        <v>264816</v>
      </c>
      <c r="N578" s="164">
        <f t="shared" si="146"/>
        <v>321709.58</v>
      </c>
      <c r="O578" s="164">
        <f t="shared" si="146"/>
        <v>320000</v>
      </c>
      <c r="P578" s="165">
        <f t="shared" si="146"/>
        <v>320000</v>
      </c>
      <c r="R578" s="78"/>
    </row>
    <row r="579" spans="1:18" hidden="1" outlineLevel="1" x14ac:dyDescent="0.25">
      <c r="A579" s="32"/>
      <c r="B579" s="213" t="s">
        <v>487</v>
      </c>
      <c r="C579" s="222" t="s">
        <v>265</v>
      </c>
      <c r="D579" s="97" t="s">
        <v>581</v>
      </c>
      <c r="E579" s="97" t="s">
        <v>17</v>
      </c>
      <c r="F579" s="97" t="s">
        <v>268</v>
      </c>
      <c r="G579" s="97" t="s">
        <v>583</v>
      </c>
      <c r="H579" s="98">
        <v>0</v>
      </c>
      <c r="I579" s="99">
        <v>0</v>
      </c>
      <c r="J579" s="99">
        <v>0</v>
      </c>
      <c r="K579" s="99">
        <v>0</v>
      </c>
      <c r="L579" s="99">
        <v>0</v>
      </c>
      <c r="M579" s="99">
        <v>0</v>
      </c>
      <c r="N579" s="99">
        <v>68100</v>
      </c>
      <c r="O579" s="99"/>
      <c r="P579" s="223"/>
    </row>
    <row r="580" spans="1:18" hidden="1" outlineLevel="1" x14ac:dyDescent="0.25">
      <c r="A580" s="39" t="s">
        <v>11</v>
      </c>
      <c r="B580" s="213" t="s">
        <v>487</v>
      </c>
      <c r="C580" s="224" t="s">
        <v>265</v>
      </c>
      <c r="D580" s="28" t="s">
        <v>582</v>
      </c>
      <c r="E580" s="28" t="s">
        <v>17</v>
      </c>
      <c r="F580" s="28" t="s">
        <v>268</v>
      </c>
      <c r="G580" s="28" t="s">
        <v>584</v>
      </c>
      <c r="H580" s="100">
        <v>0</v>
      </c>
      <c r="I580" s="101">
        <v>0</v>
      </c>
      <c r="J580" s="101">
        <v>0</v>
      </c>
      <c r="K580" s="101">
        <v>0</v>
      </c>
      <c r="L580" s="101">
        <v>0</v>
      </c>
      <c r="M580" s="101">
        <v>0</v>
      </c>
      <c r="N580" s="101">
        <v>1609.58</v>
      </c>
      <c r="O580" s="101"/>
      <c r="P580" s="225"/>
    </row>
    <row r="581" spans="1:18" hidden="1" outlineLevel="1" x14ac:dyDescent="0.25">
      <c r="A581" s="39" t="s">
        <v>11</v>
      </c>
      <c r="B581" s="46" t="s">
        <v>487</v>
      </c>
      <c r="C581" s="202" t="s">
        <v>265</v>
      </c>
      <c r="D581" s="39" t="s">
        <v>267</v>
      </c>
      <c r="E581" s="39" t="s">
        <v>17</v>
      </c>
      <c r="F581" s="39" t="s">
        <v>268</v>
      </c>
      <c r="G581" s="39" t="s">
        <v>269</v>
      </c>
      <c r="H581" s="42">
        <v>253478.87</v>
      </c>
      <c r="I581" s="42">
        <v>272969.37</v>
      </c>
      <c r="J581" s="42">
        <v>0</v>
      </c>
      <c r="K581" s="42">
        <v>0</v>
      </c>
      <c r="L581" s="42">
        <v>0</v>
      </c>
      <c r="M581" s="42">
        <v>0</v>
      </c>
      <c r="N581" s="42"/>
      <c r="O581" s="42"/>
      <c r="P581" s="203"/>
    </row>
    <row r="582" spans="1:18" hidden="1" outlineLevel="1" x14ac:dyDescent="0.25">
      <c r="A582" s="39" t="s">
        <v>11</v>
      </c>
      <c r="B582" s="46" t="s">
        <v>489</v>
      </c>
      <c r="C582" s="202" t="s">
        <v>265</v>
      </c>
      <c r="D582" s="39" t="s">
        <v>267</v>
      </c>
      <c r="E582" s="39" t="s">
        <v>17</v>
      </c>
      <c r="F582" s="39" t="s">
        <v>268</v>
      </c>
      <c r="G582" s="39" t="s">
        <v>269</v>
      </c>
      <c r="H582" s="42">
        <v>0</v>
      </c>
      <c r="I582" s="42">
        <v>0</v>
      </c>
      <c r="J582" s="42">
        <v>88854</v>
      </c>
      <c r="K582" s="42">
        <v>88354</v>
      </c>
      <c r="L582" s="42">
        <v>88354</v>
      </c>
      <c r="M582" s="42">
        <v>49871.12</v>
      </c>
      <c r="N582" s="42"/>
      <c r="O582" s="42"/>
      <c r="P582" s="203"/>
    </row>
    <row r="583" spans="1:18" hidden="1" outlineLevel="1" x14ac:dyDescent="0.25">
      <c r="A583" s="39" t="s">
        <v>11</v>
      </c>
      <c r="B583" s="46" t="s">
        <v>497</v>
      </c>
      <c r="C583" s="202" t="s">
        <v>265</v>
      </c>
      <c r="D583" s="39" t="s">
        <v>267</v>
      </c>
      <c r="E583" s="39" t="s">
        <v>17</v>
      </c>
      <c r="F583" s="39" t="s">
        <v>268</v>
      </c>
      <c r="G583" s="39" t="s">
        <v>269</v>
      </c>
      <c r="H583" s="42">
        <v>0</v>
      </c>
      <c r="I583" s="42">
        <v>0</v>
      </c>
      <c r="J583" s="42">
        <v>51380</v>
      </c>
      <c r="K583" s="42">
        <v>68795</v>
      </c>
      <c r="L583" s="42">
        <v>68795</v>
      </c>
      <c r="M583" s="42">
        <v>144711.62</v>
      </c>
      <c r="N583" s="42"/>
      <c r="O583" s="42"/>
      <c r="P583" s="203"/>
    </row>
    <row r="584" spans="1:18" hidden="1" outlineLevel="1" x14ac:dyDescent="0.25">
      <c r="A584" s="39" t="s">
        <v>11</v>
      </c>
      <c r="B584" s="46" t="s">
        <v>499</v>
      </c>
      <c r="C584" s="202" t="s">
        <v>265</v>
      </c>
      <c r="D584" s="39" t="s">
        <v>267</v>
      </c>
      <c r="E584" s="39" t="s">
        <v>17</v>
      </c>
      <c r="F584" s="39" t="s">
        <v>268</v>
      </c>
      <c r="G584" s="39" t="s">
        <v>269</v>
      </c>
      <c r="H584" s="42">
        <v>0</v>
      </c>
      <c r="I584" s="42">
        <v>0</v>
      </c>
      <c r="J584" s="42">
        <v>15415</v>
      </c>
      <c r="K584" s="42">
        <v>0</v>
      </c>
      <c r="L584" s="42">
        <v>0</v>
      </c>
      <c r="M584" s="42">
        <v>0</v>
      </c>
      <c r="N584" s="42"/>
      <c r="O584" s="42"/>
      <c r="P584" s="203"/>
    </row>
    <row r="585" spans="1:18" hidden="1" outlineLevel="1" x14ac:dyDescent="0.25">
      <c r="A585" s="39" t="s">
        <v>11</v>
      </c>
      <c r="B585" s="46" t="s">
        <v>510</v>
      </c>
      <c r="C585" s="202" t="s">
        <v>265</v>
      </c>
      <c r="D585" s="39" t="s">
        <v>267</v>
      </c>
      <c r="E585" s="39" t="s">
        <v>17</v>
      </c>
      <c r="F585" s="39" t="s">
        <v>268</v>
      </c>
      <c r="G585" s="39" t="s">
        <v>269</v>
      </c>
      <c r="H585" s="42">
        <v>0</v>
      </c>
      <c r="I585" s="42">
        <v>0</v>
      </c>
      <c r="J585" s="42">
        <v>29050</v>
      </c>
      <c r="K585" s="42">
        <v>29050</v>
      </c>
      <c r="L585" s="42">
        <v>29050</v>
      </c>
      <c r="M585" s="42">
        <v>10346.02</v>
      </c>
      <c r="N585" s="42"/>
      <c r="O585" s="42"/>
      <c r="P585" s="203"/>
    </row>
    <row r="586" spans="1:18" hidden="1" outlineLevel="1" x14ac:dyDescent="0.25">
      <c r="A586" s="39" t="s">
        <v>11</v>
      </c>
      <c r="B586" s="46" t="s">
        <v>512</v>
      </c>
      <c r="C586" s="202" t="s">
        <v>265</v>
      </c>
      <c r="D586" s="39" t="s">
        <v>267</v>
      </c>
      <c r="E586" s="39" t="s">
        <v>17</v>
      </c>
      <c r="F586" s="39" t="s">
        <v>268</v>
      </c>
      <c r="G586" s="39" t="s">
        <v>269</v>
      </c>
      <c r="H586" s="42">
        <v>0</v>
      </c>
      <c r="I586" s="42">
        <v>0</v>
      </c>
      <c r="J586" s="42">
        <v>300</v>
      </c>
      <c r="K586" s="42">
        <v>0</v>
      </c>
      <c r="L586" s="42">
        <v>0</v>
      </c>
      <c r="M586" s="42">
        <v>0</v>
      </c>
      <c r="N586" s="42"/>
      <c r="O586" s="42"/>
      <c r="P586" s="203"/>
    </row>
    <row r="587" spans="1:18" hidden="1" outlineLevel="1" x14ac:dyDescent="0.25">
      <c r="A587" s="39" t="s">
        <v>11</v>
      </c>
      <c r="B587" s="46" t="s">
        <v>513</v>
      </c>
      <c r="C587" s="202" t="s">
        <v>265</v>
      </c>
      <c r="D587" s="39" t="s">
        <v>267</v>
      </c>
      <c r="E587" s="39" t="s">
        <v>17</v>
      </c>
      <c r="F587" s="39" t="s">
        <v>268</v>
      </c>
      <c r="G587" s="39" t="s">
        <v>269</v>
      </c>
      <c r="H587" s="42">
        <v>0</v>
      </c>
      <c r="I587" s="42">
        <v>0</v>
      </c>
      <c r="J587" s="42">
        <v>23030</v>
      </c>
      <c r="K587" s="42">
        <v>23330</v>
      </c>
      <c r="L587" s="42">
        <v>23330</v>
      </c>
      <c r="M587" s="42">
        <v>15494.79</v>
      </c>
      <c r="N587" s="42"/>
      <c r="O587" s="42"/>
      <c r="P587" s="203"/>
    </row>
    <row r="588" spans="1:18" hidden="1" outlineLevel="1" x14ac:dyDescent="0.25">
      <c r="A588" s="39" t="s">
        <v>11</v>
      </c>
      <c r="B588" s="46" t="s">
        <v>528</v>
      </c>
      <c r="C588" s="202" t="s">
        <v>265</v>
      </c>
      <c r="D588" s="39" t="s">
        <v>267</v>
      </c>
      <c r="E588" s="39" t="s">
        <v>17</v>
      </c>
      <c r="F588" s="39" t="s">
        <v>268</v>
      </c>
      <c r="G588" s="39" t="s">
        <v>269</v>
      </c>
      <c r="H588" s="42">
        <v>0</v>
      </c>
      <c r="I588" s="42">
        <v>0</v>
      </c>
      <c r="J588" s="42">
        <v>12510</v>
      </c>
      <c r="K588" s="42">
        <v>12510</v>
      </c>
      <c r="L588" s="42">
        <v>12510</v>
      </c>
      <c r="M588" s="42">
        <v>4781.76</v>
      </c>
      <c r="N588" s="42"/>
      <c r="O588" s="42"/>
      <c r="P588" s="203"/>
    </row>
    <row r="589" spans="1:18" hidden="1" outlineLevel="1" x14ac:dyDescent="0.25">
      <c r="A589" s="39" t="s">
        <v>11</v>
      </c>
      <c r="B589" s="46" t="s">
        <v>532</v>
      </c>
      <c r="C589" s="202" t="s">
        <v>265</v>
      </c>
      <c r="D589" s="39" t="s">
        <v>267</v>
      </c>
      <c r="E589" s="39" t="s">
        <v>17</v>
      </c>
      <c r="F589" s="39" t="s">
        <v>268</v>
      </c>
      <c r="G589" s="39" t="s">
        <v>269</v>
      </c>
      <c r="H589" s="42">
        <v>0</v>
      </c>
      <c r="I589" s="42">
        <v>0</v>
      </c>
      <c r="J589" s="42">
        <v>250</v>
      </c>
      <c r="K589" s="42">
        <v>0</v>
      </c>
      <c r="L589" s="42">
        <v>0</v>
      </c>
      <c r="M589" s="42">
        <v>0</v>
      </c>
      <c r="N589" s="42"/>
      <c r="O589" s="42"/>
      <c r="P589" s="203"/>
    </row>
    <row r="590" spans="1:18" hidden="1" outlineLevel="1" x14ac:dyDescent="0.25">
      <c r="A590" s="39" t="s">
        <v>11</v>
      </c>
      <c r="B590" s="46" t="s">
        <v>533</v>
      </c>
      <c r="C590" s="202" t="s">
        <v>265</v>
      </c>
      <c r="D590" s="39" t="s">
        <v>267</v>
      </c>
      <c r="E590" s="39" t="s">
        <v>17</v>
      </c>
      <c r="F590" s="39" t="s">
        <v>268</v>
      </c>
      <c r="G590" s="39" t="s">
        <v>269</v>
      </c>
      <c r="H590" s="42">
        <v>0</v>
      </c>
      <c r="I590" s="42">
        <v>0</v>
      </c>
      <c r="J590" s="42">
        <v>29575</v>
      </c>
      <c r="K590" s="42">
        <v>29825</v>
      </c>
      <c r="L590" s="42">
        <v>29825</v>
      </c>
      <c r="M590" s="42">
        <v>9915.1200000000008</v>
      </c>
      <c r="N590" s="42"/>
      <c r="O590" s="42"/>
      <c r="P590" s="203"/>
    </row>
    <row r="591" spans="1:18" hidden="1" outlineLevel="1" x14ac:dyDescent="0.25">
      <c r="A591" s="39" t="s">
        <v>11</v>
      </c>
      <c r="B591" s="46" t="s">
        <v>535</v>
      </c>
      <c r="C591" s="202" t="s">
        <v>265</v>
      </c>
      <c r="D591" s="39" t="s">
        <v>267</v>
      </c>
      <c r="E591" s="39" t="s">
        <v>17</v>
      </c>
      <c r="F591" s="39" t="s">
        <v>268</v>
      </c>
      <c r="G591" s="39" t="s">
        <v>269</v>
      </c>
      <c r="H591" s="42">
        <v>0</v>
      </c>
      <c r="I591" s="42">
        <v>0</v>
      </c>
      <c r="J591" s="42">
        <v>10865</v>
      </c>
      <c r="K591" s="42">
        <v>10865</v>
      </c>
      <c r="L591" s="42">
        <v>10865</v>
      </c>
      <c r="M591" s="42">
        <v>3044.91</v>
      </c>
      <c r="N591" s="42"/>
      <c r="O591" s="42"/>
      <c r="P591" s="203"/>
    </row>
    <row r="592" spans="1:18" ht="15.75" hidden="1" outlineLevel="1" thickBot="1" x14ac:dyDescent="0.3">
      <c r="A592" s="45" t="s">
        <v>11</v>
      </c>
      <c r="B592" s="46" t="s">
        <v>536</v>
      </c>
      <c r="C592" s="202" t="s">
        <v>265</v>
      </c>
      <c r="D592" s="39" t="s">
        <v>267</v>
      </c>
      <c r="E592" s="39" t="s">
        <v>17</v>
      </c>
      <c r="F592" s="39" t="s">
        <v>268</v>
      </c>
      <c r="G592" s="39" t="s">
        <v>269</v>
      </c>
      <c r="H592" s="42">
        <v>0</v>
      </c>
      <c r="I592" s="42">
        <v>0</v>
      </c>
      <c r="J592" s="42">
        <v>54870</v>
      </c>
      <c r="K592" s="42">
        <v>54870</v>
      </c>
      <c r="L592" s="42">
        <v>54870</v>
      </c>
      <c r="M592" s="42">
        <v>26650.66</v>
      </c>
      <c r="N592" s="42"/>
      <c r="O592" s="42"/>
      <c r="P592" s="203"/>
    </row>
    <row r="593" spans="1:18" ht="15.75" hidden="1" outlineLevel="1" thickBot="1" x14ac:dyDescent="0.3">
      <c r="A593" s="102"/>
      <c r="B593" s="212" t="s">
        <v>494</v>
      </c>
      <c r="C593" s="204" t="s">
        <v>265</v>
      </c>
      <c r="D593" s="45" t="s">
        <v>142</v>
      </c>
      <c r="E593" s="45" t="s">
        <v>238</v>
      </c>
      <c r="F593" s="45" t="s">
        <v>266</v>
      </c>
      <c r="G593" s="45" t="s">
        <v>145</v>
      </c>
      <c r="H593" s="64">
        <v>0</v>
      </c>
      <c r="I593" s="64">
        <v>0</v>
      </c>
      <c r="J593" s="64">
        <v>0</v>
      </c>
      <c r="K593" s="64">
        <v>700</v>
      </c>
      <c r="L593" s="64">
        <v>700</v>
      </c>
      <c r="M593" s="64">
        <v>0</v>
      </c>
      <c r="N593" s="64"/>
      <c r="O593" s="64"/>
      <c r="P593" s="205"/>
    </row>
    <row r="594" spans="1:18" ht="15.75" collapsed="1" thickBot="1" x14ac:dyDescent="0.3">
      <c r="A594" s="14" t="s">
        <v>11</v>
      </c>
      <c r="B594" s="103"/>
      <c r="C594" s="104"/>
      <c r="D594" s="60" t="s">
        <v>593</v>
      </c>
      <c r="E594" s="76"/>
      <c r="F594" s="76"/>
      <c r="G594" s="61" t="s">
        <v>641</v>
      </c>
      <c r="H594" s="62">
        <f>SUM(H581:H592)</f>
        <v>253478.87</v>
      </c>
      <c r="I594" s="62">
        <f>SUM(I581:I592)</f>
        <v>272969.37</v>
      </c>
      <c r="J594" s="62">
        <f>SUM(J581:J593)</f>
        <v>316099</v>
      </c>
      <c r="K594" s="62">
        <f t="shared" ref="K594:M594" si="147">SUM(K581:K592)</f>
        <v>317599</v>
      </c>
      <c r="L594" s="62">
        <f>SUM(L581:L593)</f>
        <v>318299</v>
      </c>
      <c r="M594" s="62">
        <f t="shared" si="147"/>
        <v>264816</v>
      </c>
      <c r="N594" s="62">
        <f>SUM(N579:N592)</f>
        <v>69709.58</v>
      </c>
      <c r="O594" s="62">
        <f t="shared" ref="O594" si="148">SUM(O579:O592)</f>
        <v>0</v>
      </c>
      <c r="P594" s="63">
        <f>SUM(P579:P592)</f>
        <v>0</v>
      </c>
      <c r="R594" s="78"/>
    </row>
    <row r="595" spans="1:18" ht="15.75" thickBot="1" x14ac:dyDescent="0.3">
      <c r="A595" s="14"/>
      <c r="B595" s="174"/>
      <c r="C595" s="175"/>
      <c r="D595" s="60" t="s">
        <v>718</v>
      </c>
      <c r="E595" s="76"/>
      <c r="F595" s="76"/>
      <c r="G595" s="61" t="s">
        <v>719</v>
      </c>
      <c r="H595" s="62"/>
      <c r="I595" s="62"/>
      <c r="J595" s="62"/>
      <c r="K595" s="62"/>
      <c r="L595" s="62"/>
      <c r="M595" s="62"/>
      <c r="N595" s="62">
        <v>252000</v>
      </c>
      <c r="O595" s="62">
        <v>320000</v>
      </c>
      <c r="P595" s="63">
        <v>320000</v>
      </c>
      <c r="R595" s="78"/>
    </row>
    <row r="596" spans="1:18" ht="17.25" customHeight="1" thickBot="1" x14ac:dyDescent="0.3">
      <c r="A596" s="1" t="s">
        <v>11</v>
      </c>
      <c r="B596" s="13" t="s">
        <v>532</v>
      </c>
      <c r="C596" s="161" t="s">
        <v>642</v>
      </c>
      <c r="D596" s="162"/>
      <c r="E596" s="163"/>
      <c r="F596" s="164"/>
      <c r="G596" s="164" t="s">
        <v>591</v>
      </c>
      <c r="H596" s="164">
        <f>SUM(H597:H599)</f>
        <v>29030.959999999999</v>
      </c>
      <c r="I596" s="164">
        <f t="shared" ref="I596:P596" si="149">SUM(I597:I599)</f>
        <v>35068.22</v>
      </c>
      <c r="J596" s="164">
        <f t="shared" si="149"/>
        <v>21000</v>
      </c>
      <c r="K596" s="164">
        <f t="shared" si="149"/>
        <v>21000</v>
      </c>
      <c r="L596" s="164">
        <f t="shared" si="149"/>
        <v>23000</v>
      </c>
      <c r="M596" s="164">
        <f t="shared" si="149"/>
        <v>14572.71</v>
      </c>
      <c r="N596" s="164">
        <f t="shared" si="149"/>
        <v>26000</v>
      </c>
      <c r="O596" s="164">
        <f t="shared" si="149"/>
        <v>26000</v>
      </c>
      <c r="P596" s="165">
        <f t="shared" si="149"/>
        <v>26000</v>
      </c>
    </row>
    <row r="597" spans="1:18" hidden="1" outlineLevel="1" x14ac:dyDescent="0.25">
      <c r="A597" s="39" t="s">
        <v>11</v>
      </c>
      <c r="B597" s="46" t="s">
        <v>532</v>
      </c>
      <c r="C597" s="200" t="s">
        <v>270</v>
      </c>
      <c r="D597" s="40" t="s">
        <v>56</v>
      </c>
      <c r="E597" s="40" t="s">
        <v>17</v>
      </c>
      <c r="F597" s="40" t="s">
        <v>271</v>
      </c>
      <c r="G597" s="40" t="s">
        <v>272</v>
      </c>
      <c r="H597" s="41">
        <v>24545.5</v>
      </c>
      <c r="I597" s="41">
        <v>21406.639999999999</v>
      </c>
      <c r="J597" s="41">
        <v>21000</v>
      </c>
      <c r="K597" s="41">
        <v>21000</v>
      </c>
      <c r="L597" s="41">
        <v>21000</v>
      </c>
      <c r="M597" s="41">
        <v>12982.71</v>
      </c>
      <c r="N597" s="41">
        <v>21000</v>
      </c>
      <c r="O597" s="41">
        <f t="shared" ref="O597:O599" si="150">N597</f>
        <v>21000</v>
      </c>
      <c r="P597" s="201">
        <f t="shared" ref="P597:P599" si="151">N597</f>
        <v>21000</v>
      </c>
    </row>
    <row r="598" spans="1:18" hidden="1" outlineLevel="1" x14ac:dyDescent="0.25">
      <c r="A598" s="39" t="s">
        <v>11</v>
      </c>
      <c r="B598" s="46" t="s">
        <v>532</v>
      </c>
      <c r="C598" s="202" t="s">
        <v>270</v>
      </c>
      <c r="D598" s="39" t="s">
        <v>88</v>
      </c>
      <c r="E598" s="39" t="s">
        <v>14</v>
      </c>
      <c r="F598" s="39" t="s">
        <v>271</v>
      </c>
      <c r="G598" s="39" t="s">
        <v>92</v>
      </c>
      <c r="H598" s="42">
        <v>4485.46</v>
      </c>
      <c r="I598" s="42">
        <v>10000</v>
      </c>
      <c r="J598" s="42">
        <v>0</v>
      </c>
      <c r="K598" s="42">
        <v>0</v>
      </c>
      <c r="L598" s="42">
        <v>0</v>
      </c>
      <c r="M598" s="42">
        <v>0</v>
      </c>
      <c r="N598" s="42">
        <v>0</v>
      </c>
      <c r="O598" s="42">
        <f t="shared" si="150"/>
        <v>0</v>
      </c>
      <c r="P598" s="203">
        <f t="shared" si="151"/>
        <v>0</v>
      </c>
    </row>
    <row r="599" spans="1:18" ht="15.75" hidden="1" outlineLevel="1" thickBot="1" x14ac:dyDescent="0.3">
      <c r="A599" s="56" t="s">
        <v>11</v>
      </c>
      <c r="B599" s="110" t="s">
        <v>548</v>
      </c>
      <c r="C599" s="202" t="s">
        <v>270</v>
      </c>
      <c r="D599" s="39" t="s">
        <v>88</v>
      </c>
      <c r="E599" s="39" t="s">
        <v>17</v>
      </c>
      <c r="F599" s="39" t="s">
        <v>271</v>
      </c>
      <c r="G599" s="39" t="s">
        <v>92</v>
      </c>
      <c r="H599" s="42">
        <v>0</v>
      </c>
      <c r="I599" s="42">
        <v>3661.58</v>
      </c>
      <c r="J599" s="42">
        <v>0</v>
      </c>
      <c r="K599" s="42">
        <v>0</v>
      </c>
      <c r="L599" s="42">
        <v>2000</v>
      </c>
      <c r="M599" s="42">
        <v>1590</v>
      </c>
      <c r="N599" s="42">
        <v>5000</v>
      </c>
      <c r="O599" s="42">
        <f t="shared" si="150"/>
        <v>5000</v>
      </c>
      <c r="P599" s="203">
        <f t="shared" si="151"/>
        <v>5000</v>
      </c>
    </row>
    <row r="600" spans="1:18" ht="16.5" customHeight="1" collapsed="1" thickBot="1" x14ac:dyDescent="0.3">
      <c r="A600" s="39" t="s">
        <v>11</v>
      </c>
      <c r="B600" s="46" t="s">
        <v>531</v>
      </c>
      <c r="C600" s="161" t="s">
        <v>643</v>
      </c>
      <c r="D600" s="162"/>
      <c r="E600" s="163"/>
      <c r="F600" s="164"/>
      <c r="G600" s="164" t="s">
        <v>644</v>
      </c>
      <c r="H600" s="164">
        <f>H601+H608+H610+H613+H615+H616+H617+H618+H619+H622</f>
        <v>47682.86</v>
      </c>
      <c r="I600" s="164">
        <f t="shared" ref="I600:P600" si="152">I601+I608+I610+I613+I615+I616+I617+I618+I619+I622</f>
        <v>76956.5</v>
      </c>
      <c r="J600" s="164">
        <f t="shared" si="152"/>
        <v>60900</v>
      </c>
      <c r="K600" s="164">
        <f t="shared" si="152"/>
        <v>79754.040000000008</v>
      </c>
      <c r="L600" s="164">
        <f t="shared" si="152"/>
        <v>29960</v>
      </c>
      <c r="M600" s="164">
        <f t="shared" si="152"/>
        <v>44807.340000000004</v>
      </c>
      <c r="N600" s="164">
        <f t="shared" si="152"/>
        <v>95504.040000000008</v>
      </c>
      <c r="O600" s="164">
        <f t="shared" si="152"/>
        <v>95504.040000000008</v>
      </c>
      <c r="P600" s="165">
        <f t="shared" si="152"/>
        <v>95504.040000000008</v>
      </c>
      <c r="Q600" s="107"/>
      <c r="R600" s="78"/>
    </row>
    <row r="601" spans="1:18" ht="15.75" thickBot="1" x14ac:dyDescent="0.3">
      <c r="A601" s="39" t="s">
        <v>11</v>
      </c>
      <c r="B601" s="46" t="s">
        <v>528</v>
      </c>
      <c r="C601" s="176"/>
      <c r="D601" s="60" t="s">
        <v>283</v>
      </c>
      <c r="E601" s="61" t="s">
        <v>17</v>
      </c>
      <c r="F601" s="61" t="s">
        <v>284</v>
      </c>
      <c r="G601" s="61" t="s">
        <v>285</v>
      </c>
      <c r="H601" s="62">
        <v>1399.99</v>
      </c>
      <c r="I601" s="62">
        <v>2861.4</v>
      </c>
      <c r="J601" s="62">
        <v>1700</v>
      </c>
      <c r="K601" s="62">
        <v>1700</v>
      </c>
      <c r="L601" s="62">
        <v>1700</v>
      </c>
      <c r="M601" s="62">
        <v>1675.5</v>
      </c>
      <c r="N601" s="62">
        <v>0</v>
      </c>
      <c r="O601" s="62">
        <f t="shared" ref="O601:O609" si="153">N601</f>
        <v>0</v>
      </c>
      <c r="P601" s="63">
        <f t="shared" ref="P601:P609" si="154">N601</f>
        <v>0</v>
      </c>
      <c r="R601" s="78"/>
    </row>
    <row r="602" spans="1:18" ht="15.75" hidden="1" customHeight="1" outlineLevel="1" x14ac:dyDescent="0.25">
      <c r="A602" s="39" t="s">
        <v>11</v>
      </c>
      <c r="B602" s="46" t="s">
        <v>528</v>
      </c>
      <c r="C602" s="177"/>
      <c r="D602" s="58" t="s">
        <v>56</v>
      </c>
      <c r="E602" s="40" t="s">
        <v>17</v>
      </c>
      <c r="F602" s="40" t="s">
        <v>275</v>
      </c>
      <c r="G602" s="40" t="s">
        <v>276</v>
      </c>
      <c r="H602" s="41">
        <v>432.72</v>
      </c>
      <c r="I602" s="41">
        <v>806.17</v>
      </c>
      <c r="J602" s="41">
        <v>530</v>
      </c>
      <c r="K602" s="41">
        <v>505</v>
      </c>
      <c r="L602" s="41">
        <v>500</v>
      </c>
      <c r="M602" s="41">
        <v>411.25</v>
      </c>
      <c r="N602" s="41">
        <v>550</v>
      </c>
      <c r="O602" s="41">
        <f t="shared" si="153"/>
        <v>550</v>
      </c>
      <c r="P602" s="201">
        <f t="shared" si="154"/>
        <v>550</v>
      </c>
    </row>
    <row r="603" spans="1:18" ht="15.75" hidden="1" customHeight="1" outlineLevel="1" x14ac:dyDescent="0.25">
      <c r="A603" s="39" t="s">
        <v>11</v>
      </c>
      <c r="B603" s="46" t="s">
        <v>528</v>
      </c>
      <c r="C603" s="177"/>
      <c r="D603" s="47" t="s">
        <v>56</v>
      </c>
      <c r="E603" s="39" t="s">
        <v>17</v>
      </c>
      <c r="F603" s="39" t="s">
        <v>275</v>
      </c>
      <c r="G603" s="39" t="s">
        <v>277</v>
      </c>
      <c r="H603" s="42">
        <v>1351.97</v>
      </c>
      <c r="I603" s="42">
        <v>222.19</v>
      </c>
      <c r="J603" s="42">
        <v>200</v>
      </c>
      <c r="K603" s="42">
        <v>380.42</v>
      </c>
      <c r="L603" s="42">
        <v>400</v>
      </c>
      <c r="M603" s="42">
        <v>403.36</v>
      </c>
      <c r="N603" s="42">
        <v>400</v>
      </c>
      <c r="O603" s="42">
        <f t="shared" si="153"/>
        <v>400</v>
      </c>
      <c r="P603" s="203">
        <f t="shared" si="154"/>
        <v>400</v>
      </c>
    </row>
    <row r="604" spans="1:18" ht="15.75" hidden="1" customHeight="1" outlineLevel="1" x14ac:dyDescent="0.25">
      <c r="A604" s="39" t="s">
        <v>11</v>
      </c>
      <c r="B604" s="46" t="s">
        <v>528</v>
      </c>
      <c r="C604" s="177"/>
      <c r="D604" s="47" t="s">
        <v>56</v>
      </c>
      <c r="E604" s="39" t="s">
        <v>17</v>
      </c>
      <c r="F604" s="39" t="s">
        <v>275</v>
      </c>
      <c r="G604" s="39" t="s">
        <v>278</v>
      </c>
      <c r="H604" s="42">
        <v>1082.74</v>
      </c>
      <c r="I604" s="42">
        <v>1793.29</v>
      </c>
      <c r="J604" s="42">
        <v>1800</v>
      </c>
      <c r="K604" s="42">
        <v>999.52</v>
      </c>
      <c r="L604" s="42">
        <v>950</v>
      </c>
      <c r="M604" s="42">
        <v>903.33</v>
      </c>
      <c r="N604" s="42">
        <v>1000</v>
      </c>
      <c r="O604" s="42">
        <f t="shared" si="153"/>
        <v>1000</v>
      </c>
      <c r="P604" s="203">
        <f t="shared" si="154"/>
        <v>1000</v>
      </c>
    </row>
    <row r="605" spans="1:18" ht="15.75" hidden="1" customHeight="1" outlineLevel="1" x14ac:dyDescent="0.25">
      <c r="A605" s="39" t="s">
        <v>11</v>
      </c>
      <c r="B605" s="46" t="s">
        <v>528</v>
      </c>
      <c r="C605" s="177"/>
      <c r="D605" s="47" t="s">
        <v>56</v>
      </c>
      <c r="E605" s="39" t="s">
        <v>17</v>
      </c>
      <c r="F605" s="39" t="s">
        <v>275</v>
      </c>
      <c r="G605" s="39" t="s">
        <v>279</v>
      </c>
      <c r="H605" s="42">
        <v>490.08</v>
      </c>
      <c r="I605" s="42">
        <v>621.08000000000004</v>
      </c>
      <c r="J605" s="42">
        <v>620</v>
      </c>
      <c r="K605" s="42">
        <v>1365.06</v>
      </c>
      <c r="L605" s="42">
        <v>1500</v>
      </c>
      <c r="M605" s="42">
        <v>1457.06</v>
      </c>
      <c r="N605" s="42">
        <v>1500</v>
      </c>
      <c r="O605" s="42">
        <f t="shared" si="153"/>
        <v>1500</v>
      </c>
      <c r="P605" s="203">
        <f t="shared" si="154"/>
        <v>1500</v>
      </c>
    </row>
    <row r="606" spans="1:18" ht="15.75" hidden="1" customHeight="1" outlineLevel="1" x14ac:dyDescent="0.25">
      <c r="A606" s="39" t="s">
        <v>11</v>
      </c>
      <c r="B606" s="46" t="s">
        <v>528</v>
      </c>
      <c r="C606" s="177"/>
      <c r="D606" s="47" t="s">
        <v>65</v>
      </c>
      <c r="E606" s="39" t="s">
        <v>17</v>
      </c>
      <c r="F606" s="39" t="s">
        <v>275</v>
      </c>
      <c r="G606" s="39" t="s">
        <v>280</v>
      </c>
      <c r="H606" s="42">
        <v>319.2</v>
      </c>
      <c r="I606" s="42">
        <v>301.2</v>
      </c>
      <c r="J606" s="42">
        <v>450</v>
      </c>
      <c r="K606" s="42">
        <v>350</v>
      </c>
      <c r="L606" s="42">
        <v>250</v>
      </c>
      <c r="M606" s="42">
        <v>247.88</v>
      </c>
      <c r="N606" s="42">
        <v>350</v>
      </c>
      <c r="O606" s="42">
        <f t="shared" si="153"/>
        <v>350</v>
      </c>
      <c r="P606" s="203">
        <f t="shared" si="154"/>
        <v>350</v>
      </c>
    </row>
    <row r="607" spans="1:18" ht="15.75" hidden="1" customHeight="1" outlineLevel="1" thickBot="1" x14ac:dyDescent="0.3">
      <c r="A607" s="15"/>
      <c r="B607" s="16"/>
      <c r="C607" s="177"/>
      <c r="D607" s="59" t="s">
        <v>135</v>
      </c>
      <c r="E607" s="45" t="s">
        <v>17</v>
      </c>
      <c r="F607" s="45" t="s">
        <v>275</v>
      </c>
      <c r="G607" s="45" t="s">
        <v>136</v>
      </c>
      <c r="H607" s="64">
        <v>334</v>
      </c>
      <c r="I607" s="64">
        <v>0</v>
      </c>
      <c r="J607" s="64">
        <v>300</v>
      </c>
      <c r="K607" s="64">
        <v>300</v>
      </c>
      <c r="L607" s="64">
        <v>130</v>
      </c>
      <c r="M607" s="64">
        <v>120.7</v>
      </c>
      <c r="N607" s="64">
        <v>200</v>
      </c>
      <c r="O607" s="64">
        <f t="shared" si="153"/>
        <v>200</v>
      </c>
      <c r="P607" s="205">
        <f t="shared" si="154"/>
        <v>200</v>
      </c>
    </row>
    <row r="608" spans="1:18" s="74" customFormat="1" ht="15.75" collapsed="1" thickBot="1" x14ac:dyDescent="0.3">
      <c r="A608" s="39" t="s">
        <v>11</v>
      </c>
      <c r="B608" s="46" t="s">
        <v>531</v>
      </c>
      <c r="C608" s="177"/>
      <c r="D608" s="60" t="s">
        <v>593</v>
      </c>
      <c r="E608" s="61"/>
      <c r="F608" s="61"/>
      <c r="G608" s="61" t="s">
        <v>645</v>
      </c>
      <c r="H608" s="62">
        <f>SUM(H602:H607)</f>
        <v>4010.71</v>
      </c>
      <c r="I608" s="62">
        <f t="shared" ref="I608:P608" si="155">SUM(I602:I607)</f>
        <v>3743.9299999999994</v>
      </c>
      <c r="J608" s="62">
        <f t="shared" si="155"/>
        <v>3900</v>
      </c>
      <c r="K608" s="62">
        <f t="shared" si="155"/>
        <v>3900</v>
      </c>
      <c r="L608" s="62">
        <f t="shared" si="155"/>
        <v>3730</v>
      </c>
      <c r="M608" s="62">
        <f t="shared" si="155"/>
        <v>3543.58</v>
      </c>
      <c r="N608" s="62">
        <f t="shared" si="155"/>
        <v>4000</v>
      </c>
      <c r="O608" s="62">
        <f t="shared" si="155"/>
        <v>4000</v>
      </c>
      <c r="P608" s="63">
        <f t="shared" si="155"/>
        <v>4000</v>
      </c>
    </row>
    <row r="609" spans="1:17" ht="15.75" hidden="1" customHeight="1" outlineLevel="1" thickBot="1" x14ac:dyDescent="0.3">
      <c r="A609" s="7" t="s">
        <v>11</v>
      </c>
      <c r="B609" s="77" t="s">
        <v>528</v>
      </c>
      <c r="C609" s="177"/>
      <c r="D609" s="58" t="s">
        <v>283</v>
      </c>
      <c r="E609" s="40" t="s">
        <v>17</v>
      </c>
      <c r="F609" s="40" t="s">
        <v>275</v>
      </c>
      <c r="G609" s="40" t="s">
        <v>286</v>
      </c>
      <c r="H609" s="41">
        <v>21500</v>
      </c>
      <c r="I609" s="41">
        <v>48600</v>
      </c>
      <c r="J609" s="41">
        <v>35000</v>
      </c>
      <c r="K609" s="41">
        <v>35000</v>
      </c>
      <c r="L609" s="41">
        <f>SUM(L601:L607)</f>
        <v>5430</v>
      </c>
      <c r="M609" s="41">
        <v>21199.18</v>
      </c>
      <c r="N609" s="41">
        <v>34300</v>
      </c>
      <c r="O609" s="41">
        <f t="shared" si="153"/>
        <v>34300</v>
      </c>
      <c r="P609" s="201">
        <f t="shared" si="154"/>
        <v>34300</v>
      </c>
    </row>
    <row r="610" spans="1:17" ht="15.75" collapsed="1" thickBot="1" x14ac:dyDescent="0.3">
      <c r="A610" s="39" t="s">
        <v>11</v>
      </c>
      <c r="B610" s="46" t="s">
        <v>530</v>
      </c>
      <c r="C610" s="177"/>
      <c r="D610" s="50" t="s">
        <v>720</v>
      </c>
      <c r="E610" s="79"/>
      <c r="F610" s="79"/>
      <c r="G610" s="51" t="s">
        <v>646</v>
      </c>
      <c r="H610" s="52">
        <f>H609</f>
        <v>21500</v>
      </c>
      <c r="I610" s="52">
        <f t="shared" ref="I610:P610" si="156">I609</f>
        <v>48600</v>
      </c>
      <c r="J610" s="52">
        <f t="shared" si="156"/>
        <v>35000</v>
      </c>
      <c r="K610" s="52">
        <f t="shared" si="156"/>
        <v>35000</v>
      </c>
      <c r="L610" s="52">
        <f t="shared" si="156"/>
        <v>5430</v>
      </c>
      <c r="M610" s="52">
        <f t="shared" si="156"/>
        <v>21199.18</v>
      </c>
      <c r="N610" s="52">
        <f t="shared" si="156"/>
        <v>34300</v>
      </c>
      <c r="O610" s="52">
        <f t="shared" si="156"/>
        <v>34300</v>
      </c>
      <c r="P610" s="53">
        <f t="shared" si="156"/>
        <v>34300</v>
      </c>
    </row>
    <row r="611" spans="1:17" ht="15.75" hidden="1" customHeight="1" outlineLevel="1" x14ac:dyDescent="0.25">
      <c r="A611" s="39" t="s">
        <v>11</v>
      </c>
      <c r="B611" s="46" t="s">
        <v>530</v>
      </c>
      <c r="C611" s="177"/>
      <c r="D611" s="58" t="s">
        <v>283</v>
      </c>
      <c r="E611" s="40" t="s">
        <v>17</v>
      </c>
      <c r="F611" s="40" t="s">
        <v>287</v>
      </c>
      <c r="G611" s="40" t="s">
        <v>288</v>
      </c>
      <c r="H611" s="41">
        <v>9383.6</v>
      </c>
      <c r="I611" s="41">
        <v>8337.82</v>
      </c>
      <c r="J611" s="41">
        <v>9000</v>
      </c>
      <c r="K611" s="41">
        <v>9000</v>
      </c>
      <c r="L611" s="41">
        <v>7500</v>
      </c>
      <c r="M611" s="41">
        <v>6932.63</v>
      </c>
      <c r="N611" s="41">
        <v>8000</v>
      </c>
      <c r="O611" s="41">
        <f t="shared" ref="O611:O619" si="157">N611</f>
        <v>8000</v>
      </c>
      <c r="P611" s="201">
        <f t="shared" ref="P611:P619" si="158">N611</f>
        <v>8000</v>
      </c>
    </row>
    <row r="612" spans="1:17" ht="15.75" hidden="1" customHeight="1" outlineLevel="1" thickBot="1" x14ac:dyDescent="0.3">
      <c r="A612" s="15"/>
      <c r="B612" s="16"/>
      <c r="C612" s="177"/>
      <c r="D612" s="59" t="s">
        <v>283</v>
      </c>
      <c r="E612" s="45" t="s">
        <v>17</v>
      </c>
      <c r="F612" s="45" t="s">
        <v>287</v>
      </c>
      <c r="G612" s="45" t="s">
        <v>289</v>
      </c>
      <c r="H612" s="64">
        <v>1088.56</v>
      </c>
      <c r="I612" s="64">
        <v>1613.35</v>
      </c>
      <c r="J612" s="64">
        <v>1500</v>
      </c>
      <c r="K612" s="64">
        <v>1650</v>
      </c>
      <c r="L612" s="64">
        <v>1700</v>
      </c>
      <c r="M612" s="64">
        <v>1656.45</v>
      </c>
      <c r="N612" s="64">
        <v>1800</v>
      </c>
      <c r="O612" s="64">
        <f t="shared" si="157"/>
        <v>1800</v>
      </c>
      <c r="P612" s="205">
        <f t="shared" si="158"/>
        <v>1800</v>
      </c>
    </row>
    <row r="613" spans="1:17" s="74" customFormat="1" ht="15.75" collapsed="1" thickBot="1" x14ac:dyDescent="0.3">
      <c r="A613" s="39" t="s">
        <v>11</v>
      </c>
      <c r="B613" s="46" t="s">
        <v>531</v>
      </c>
      <c r="C613" s="177"/>
      <c r="D613" s="60" t="s">
        <v>593</v>
      </c>
      <c r="E613" s="61"/>
      <c r="F613" s="61"/>
      <c r="G613" s="61" t="s">
        <v>743</v>
      </c>
      <c r="H613" s="62">
        <f>H611+H612</f>
        <v>10472.16</v>
      </c>
      <c r="I613" s="62">
        <f t="shared" ref="I613:P613" si="159">I611+I612</f>
        <v>9951.17</v>
      </c>
      <c r="J613" s="62">
        <f t="shared" si="159"/>
        <v>10500</v>
      </c>
      <c r="K613" s="62">
        <f t="shared" si="159"/>
        <v>10650</v>
      </c>
      <c r="L613" s="62">
        <f t="shared" si="159"/>
        <v>9200</v>
      </c>
      <c r="M613" s="62">
        <f t="shared" si="159"/>
        <v>8589.08</v>
      </c>
      <c r="N613" s="62">
        <f t="shared" si="159"/>
        <v>9800</v>
      </c>
      <c r="O613" s="62">
        <f t="shared" si="159"/>
        <v>9800</v>
      </c>
      <c r="P613" s="63">
        <f t="shared" si="159"/>
        <v>9800</v>
      </c>
    </row>
    <row r="614" spans="1:17" ht="15.75" hidden="1" customHeight="1" outlineLevel="1" thickBot="1" x14ac:dyDescent="0.3">
      <c r="A614" s="15"/>
      <c r="B614" s="16"/>
      <c r="C614" s="177"/>
      <c r="D614" s="108" t="s">
        <v>283</v>
      </c>
      <c r="E614" s="67" t="s">
        <v>17</v>
      </c>
      <c r="F614" s="67" t="s">
        <v>287</v>
      </c>
      <c r="G614" s="67" t="s">
        <v>290</v>
      </c>
      <c r="H614" s="88">
        <v>7000</v>
      </c>
      <c r="I614" s="88">
        <v>7000</v>
      </c>
      <c r="J614" s="88">
        <v>5000</v>
      </c>
      <c r="K614" s="88">
        <v>5000</v>
      </c>
      <c r="L614" s="88">
        <v>5100</v>
      </c>
      <c r="M614" s="88">
        <v>5000</v>
      </c>
      <c r="N614" s="88">
        <v>7000</v>
      </c>
      <c r="O614" s="88">
        <f t="shared" si="157"/>
        <v>7000</v>
      </c>
      <c r="P614" s="137">
        <f t="shared" si="158"/>
        <v>7000</v>
      </c>
    </row>
    <row r="615" spans="1:17" s="74" customFormat="1" ht="15.75" collapsed="1" thickBot="1" x14ac:dyDescent="0.3">
      <c r="A615" s="39" t="s">
        <v>11</v>
      </c>
      <c r="B615" s="46" t="s">
        <v>531</v>
      </c>
      <c r="C615" s="177"/>
      <c r="D615" s="60" t="s">
        <v>593</v>
      </c>
      <c r="E615" s="61"/>
      <c r="F615" s="61"/>
      <c r="G615" s="51" t="s">
        <v>647</v>
      </c>
      <c r="H615" s="52">
        <f>H614</f>
        <v>7000</v>
      </c>
      <c r="I615" s="52">
        <f t="shared" ref="I615:P615" si="160">I614</f>
        <v>7000</v>
      </c>
      <c r="J615" s="52">
        <f t="shared" si="160"/>
        <v>5000</v>
      </c>
      <c r="K615" s="52">
        <f t="shared" si="160"/>
        <v>5000</v>
      </c>
      <c r="L615" s="52">
        <f t="shared" si="160"/>
        <v>5100</v>
      </c>
      <c r="M615" s="52">
        <f t="shared" si="160"/>
        <v>5000</v>
      </c>
      <c r="N615" s="52">
        <f t="shared" si="160"/>
        <v>7000</v>
      </c>
      <c r="O615" s="52">
        <f t="shared" si="160"/>
        <v>7000</v>
      </c>
      <c r="P615" s="53">
        <f t="shared" si="160"/>
        <v>7000</v>
      </c>
    </row>
    <row r="616" spans="1:17" ht="15.75" thickBot="1" x14ac:dyDescent="0.3">
      <c r="A616" s="39" t="s">
        <v>11</v>
      </c>
      <c r="B616" s="46" t="s">
        <v>531</v>
      </c>
      <c r="C616" s="177"/>
      <c r="D616" s="60" t="s">
        <v>593</v>
      </c>
      <c r="E616" s="76" t="s">
        <v>17</v>
      </c>
      <c r="F616" s="76" t="s">
        <v>291</v>
      </c>
      <c r="G616" s="61" t="s">
        <v>292</v>
      </c>
      <c r="H616" s="62">
        <v>1800</v>
      </c>
      <c r="I616" s="62">
        <v>1800</v>
      </c>
      <c r="J616" s="62">
        <v>1800</v>
      </c>
      <c r="K616" s="62">
        <v>1800</v>
      </c>
      <c r="L616" s="62">
        <v>1800</v>
      </c>
      <c r="M616" s="62">
        <v>1800</v>
      </c>
      <c r="N616" s="62">
        <v>2000</v>
      </c>
      <c r="O616" s="62">
        <f t="shared" si="157"/>
        <v>2000</v>
      </c>
      <c r="P616" s="63">
        <f t="shared" si="158"/>
        <v>2000</v>
      </c>
    </row>
    <row r="617" spans="1:17" ht="15.75" thickBot="1" x14ac:dyDescent="0.3">
      <c r="A617" s="39"/>
      <c r="B617" s="46"/>
      <c r="C617" s="177"/>
      <c r="D617" s="60" t="s">
        <v>593</v>
      </c>
      <c r="E617" s="76" t="s">
        <v>17</v>
      </c>
      <c r="F617" s="76" t="s">
        <v>293</v>
      </c>
      <c r="G617" s="61" t="s">
        <v>721</v>
      </c>
      <c r="H617" s="62">
        <v>1500</v>
      </c>
      <c r="I617" s="62">
        <v>3000</v>
      </c>
      <c r="J617" s="62">
        <v>3000</v>
      </c>
      <c r="K617" s="62">
        <v>3000</v>
      </c>
      <c r="L617" s="62">
        <v>3000</v>
      </c>
      <c r="M617" s="62">
        <v>3000</v>
      </c>
      <c r="N617" s="62">
        <v>2500</v>
      </c>
      <c r="O617" s="62">
        <f t="shared" si="157"/>
        <v>2500</v>
      </c>
      <c r="P617" s="63">
        <f t="shared" si="158"/>
        <v>2500</v>
      </c>
    </row>
    <row r="618" spans="1:17" ht="15.75" thickBot="1" x14ac:dyDescent="0.3">
      <c r="A618" s="39" t="s">
        <v>11</v>
      </c>
      <c r="B618" s="46" t="s">
        <v>528</v>
      </c>
      <c r="C618" s="177"/>
      <c r="D618" s="60" t="s">
        <v>593</v>
      </c>
      <c r="E618" s="76"/>
      <c r="F618" s="76"/>
      <c r="G618" s="61" t="s">
        <v>722</v>
      </c>
      <c r="H618" s="62">
        <v>0</v>
      </c>
      <c r="I618" s="62">
        <v>0</v>
      </c>
      <c r="J618" s="62">
        <v>0</v>
      </c>
      <c r="K618" s="62">
        <v>0</v>
      </c>
      <c r="L618" s="62">
        <v>0</v>
      </c>
      <c r="M618" s="62">
        <v>0</v>
      </c>
      <c r="N618" s="62">
        <v>1000</v>
      </c>
      <c r="O618" s="62">
        <f t="shared" si="157"/>
        <v>1000</v>
      </c>
      <c r="P618" s="63">
        <f t="shared" si="158"/>
        <v>1000</v>
      </c>
    </row>
    <row r="619" spans="1:17" ht="15.75" thickBot="1" x14ac:dyDescent="0.3">
      <c r="A619" s="39" t="s">
        <v>11</v>
      </c>
      <c r="B619" s="46" t="s">
        <v>529</v>
      </c>
      <c r="C619" s="177"/>
      <c r="D619" s="60" t="s">
        <v>593</v>
      </c>
      <c r="E619" s="76" t="s">
        <v>238</v>
      </c>
      <c r="F619" s="76" t="s">
        <v>281</v>
      </c>
      <c r="G619" s="61" t="s">
        <v>648</v>
      </c>
      <c r="H619" s="62">
        <v>0</v>
      </c>
      <c r="I619" s="62">
        <v>0</v>
      </c>
      <c r="J619" s="62">
        <v>0</v>
      </c>
      <c r="K619" s="62">
        <v>16904.04</v>
      </c>
      <c r="L619" s="62">
        <v>0</v>
      </c>
      <c r="M619" s="62">
        <v>0</v>
      </c>
      <c r="N619" s="62">
        <v>16904.04</v>
      </c>
      <c r="O619" s="62">
        <f t="shared" si="157"/>
        <v>16904.04</v>
      </c>
      <c r="P619" s="63">
        <f t="shared" si="158"/>
        <v>16904.04</v>
      </c>
      <c r="Q619" s="36" t="s">
        <v>601</v>
      </c>
    </row>
    <row r="620" spans="1:17" ht="15" hidden="1" customHeight="1" outlineLevel="1" x14ac:dyDescent="0.25">
      <c r="A620" s="39" t="s">
        <v>11</v>
      </c>
      <c r="B620" s="46" t="s">
        <v>529</v>
      </c>
      <c r="C620" s="177"/>
      <c r="D620" s="109" t="s">
        <v>593</v>
      </c>
      <c r="E620" s="40" t="s">
        <v>238</v>
      </c>
      <c r="F620" s="40" t="s">
        <v>273</v>
      </c>
      <c r="G620" s="40" t="s">
        <v>274</v>
      </c>
      <c r="H620" s="41">
        <v>0</v>
      </c>
      <c r="I620" s="41">
        <v>0</v>
      </c>
      <c r="J620" s="41">
        <v>0</v>
      </c>
      <c r="K620" s="41">
        <v>1000</v>
      </c>
      <c r="L620" s="41">
        <v>0</v>
      </c>
      <c r="M620" s="41">
        <v>0</v>
      </c>
      <c r="N620" s="41">
        <v>13200</v>
      </c>
      <c r="O620" s="41">
        <f>N620</f>
        <v>13200</v>
      </c>
      <c r="P620" s="201">
        <f>N620</f>
        <v>13200</v>
      </c>
    </row>
    <row r="621" spans="1:17" ht="15" hidden="1" customHeight="1" outlineLevel="1" thickBot="1" x14ac:dyDescent="0.3">
      <c r="A621" s="56" t="s">
        <v>11</v>
      </c>
      <c r="B621" s="110" t="s">
        <v>529</v>
      </c>
      <c r="C621" s="177"/>
      <c r="D621" s="18" t="s">
        <v>593</v>
      </c>
      <c r="E621" s="39" t="s">
        <v>238</v>
      </c>
      <c r="F621" s="39" t="s">
        <v>273</v>
      </c>
      <c r="G621" s="39" t="s">
        <v>472</v>
      </c>
      <c r="H621" s="42">
        <v>0</v>
      </c>
      <c r="I621" s="42">
        <v>0</v>
      </c>
      <c r="J621" s="42">
        <v>0</v>
      </c>
      <c r="K621" s="42">
        <v>800</v>
      </c>
      <c r="L621" s="42">
        <v>0</v>
      </c>
      <c r="M621" s="42">
        <v>0</v>
      </c>
      <c r="N621" s="42">
        <v>4800</v>
      </c>
      <c r="O621" s="42">
        <v>4800</v>
      </c>
      <c r="P621" s="203">
        <v>4800</v>
      </c>
    </row>
    <row r="622" spans="1:17" ht="15" customHeight="1" collapsed="1" thickBot="1" x14ac:dyDescent="0.3">
      <c r="A622" s="74"/>
      <c r="B622" s="74"/>
      <c r="C622" s="178"/>
      <c r="D622" s="50" t="s">
        <v>720</v>
      </c>
      <c r="E622" s="79"/>
      <c r="F622" s="79"/>
      <c r="G622" s="51" t="s">
        <v>723</v>
      </c>
      <c r="H622" s="52">
        <f>H620+H621</f>
        <v>0</v>
      </c>
      <c r="I622" s="52">
        <f t="shared" ref="I622:P622" si="161">I620+I621</f>
        <v>0</v>
      </c>
      <c r="J622" s="52">
        <f t="shared" si="161"/>
        <v>0</v>
      </c>
      <c r="K622" s="52">
        <f t="shared" si="161"/>
        <v>1800</v>
      </c>
      <c r="L622" s="52">
        <f t="shared" si="161"/>
        <v>0</v>
      </c>
      <c r="M622" s="52">
        <f t="shared" si="161"/>
        <v>0</v>
      </c>
      <c r="N622" s="52">
        <f t="shared" si="161"/>
        <v>18000</v>
      </c>
      <c r="O622" s="52">
        <f t="shared" si="161"/>
        <v>18000</v>
      </c>
      <c r="P622" s="53">
        <f t="shared" si="161"/>
        <v>18000</v>
      </c>
    </row>
    <row r="623" spans="1:17" ht="15.75" thickBot="1" x14ac:dyDescent="0.3">
      <c r="A623" s="1" t="s">
        <v>11</v>
      </c>
      <c r="B623" s="13" t="s">
        <v>501</v>
      </c>
      <c r="C623" s="161" t="s">
        <v>649</v>
      </c>
      <c r="D623" s="162"/>
      <c r="E623" s="163"/>
      <c r="F623" s="164"/>
      <c r="G623" s="164" t="s">
        <v>650</v>
      </c>
      <c r="H623" s="164">
        <f t="shared" ref="H623:P623" si="162">H638+H639+H640+H679+H705+H718+H725</f>
        <v>61063.47</v>
      </c>
      <c r="I623" s="164">
        <f t="shared" si="162"/>
        <v>83683.510000000009</v>
      </c>
      <c r="J623" s="164">
        <f t="shared" si="162"/>
        <v>82870</v>
      </c>
      <c r="K623" s="164">
        <f t="shared" si="162"/>
        <v>100370</v>
      </c>
      <c r="L623" s="164">
        <f t="shared" si="162"/>
        <v>85882.789625000005</v>
      </c>
      <c r="M623" s="164">
        <f t="shared" si="162"/>
        <v>73447.789999999994</v>
      </c>
      <c r="N623" s="164">
        <f t="shared" si="162"/>
        <v>92648</v>
      </c>
      <c r="O623" s="164">
        <f t="shared" si="162"/>
        <v>92648</v>
      </c>
      <c r="P623" s="165">
        <f t="shared" si="162"/>
        <v>92648</v>
      </c>
      <c r="Q623" s="111"/>
    </row>
    <row r="624" spans="1:17" hidden="1" outlineLevel="1" x14ac:dyDescent="0.25">
      <c r="A624" s="39" t="s">
        <v>11</v>
      </c>
      <c r="B624" s="46" t="s">
        <v>501</v>
      </c>
      <c r="C624" s="200" t="s">
        <v>294</v>
      </c>
      <c r="D624" s="40" t="s">
        <v>22</v>
      </c>
      <c r="E624" s="40" t="s">
        <v>17</v>
      </c>
      <c r="F624" s="40" t="s">
        <v>298</v>
      </c>
      <c r="G624" s="40" t="s">
        <v>23</v>
      </c>
      <c r="H624" s="41">
        <v>187.1</v>
      </c>
      <c r="I624" s="41">
        <v>234.9</v>
      </c>
      <c r="J624" s="41">
        <v>400</v>
      </c>
      <c r="K624" s="41">
        <v>400</v>
      </c>
      <c r="L624" s="41">
        <f t="shared" ref="L624:L632" si="163">M624</f>
        <v>228.75</v>
      </c>
      <c r="M624" s="41">
        <v>228.75</v>
      </c>
      <c r="N624" s="41">
        <v>480</v>
      </c>
      <c r="O624" s="41">
        <f t="shared" ref="O624:O641" si="164">N624</f>
        <v>480</v>
      </c>
      <c r="P624" s="201">
        <f t="shared" ref="P624:P641" si="165">N624</f>
        <v>480</v>
      </c>
    </row>
    <row r="625" spans="1:16" hidden="1" outlineLevel="1" x14ac:dyDescent="0.25">
      <c r="A625" s="39" t="s">
        <v>11</v>
      </c>
      <c r="B625" s="46" t="s">
        <v>501</v>
      </c>
      <c r="C625" s="202" t="s">
        <v>294</v>
      </c>
      <c r="D625" s="39" t="s">
        <v>26</v>
      </c>
      <c r="E625" s="39" t="s">
        <v>17</v>
      </c>
      <c r="F625" s="39" t="s">
        <v>298</v>
      </c>
      <c r="G625" s="39" t="s">
        <v>205</v>
      </c>
      <c r="H625" s="42">
        <v>201.1</v>
      </c>
      <c r="I625" s="42">
        <v>207.17</v>
      </c>
      <c r="J625" s="42">
        <v>300</v>
      </c>
      <c r="K625" s="42">
        <v>300</v>
      </c>
      <c r="L625" s="42">
        <f t="shared" si="163"/>
        <v>218.2</v>
      </c>
      <c r="M625" s="42">
        <v>218.2</v>
      </c>
      <c r="N625" s="42">
        <v>300</v>
      </c>
      <c r="O625" s="42">
        <f t="shared" si="164"/>
        <v>300</v>
      </c>
      <c r="P625" s="203">
        <f t="shared" si="165"/>
        <v>300</v>
      </c>
    </row>
    <row r="626" spans="1:16" hidden="1" outlineLevel="1" x14ac:dyDescent="0.25">
      <c r="A626" s="39" t="s">
        <v>11</v>
      </c>
      <c r="B626" s="46" t="s">
        <v>501</v>
      </c>
      <c r="C626" s="202" t="s">
        <v>294</v>
      </c>
      <c r="D626" s="39" t="s">
        <v>26</v>
      </c>
      <c r="E626" s="39" t="s">
        <v>17</v>
      </c>
      <c r="F626" s="39" t="s">
        <v>298</v>
      </c>
      <c r="G626" s="39" t="s">
        <v>28</v>
      </c>
      <c r="H626" s="42">
        <v>10</v>
      </c>
      <c r="I626" s="42">
        <v>73.3</v>
      </c>
      <c r="J626" s="42">
        <v>100</v>
      </c>
      <c r="K626" s="42">
        <v>100</v>
      </c>
      <c r="L626" s="42">
        <f t="shared" si="163"/>
        <v>6.7</v>
      </c>
      <c r="M626" s="42">
        <v>6.7</v>
      </c>
      <c r="N626" s="42">
        <v>100</v>
      </c>
      <c r="O626" s="42">
        <f t="shared" si="164"/>
        <v>100</v>
      </c>
      <c r="P626" s="203">
        <f t="shared" si="165"/>
        <v>100</v>
      </c>
    </row>
    <row r="627" spans="1:16" hidden="1" outlineLevel="1" x14ac:dyDescent="0.25">
      <c r="A627" s="39" t="s">
        <v>11</v>
      </c>
      <c r="B627" s="46" t="s">
        <v>501</v>
      </c>
      <c r="C627" s="202" t="s">
        <v>294</v>
      </c>
      <c r="D627" s="39" t="s">
        <v>29</v>
      </c>
      <c r="E627" s="39" t="s">
        <v>17</v>
      </c>
      <c r="F627" s="39" t="s">
        <v>298</v>
      </c>
      <c r="G627" s="39" t="s">
        <v>31</v>
      </c>
      <c r="H627" s="42">
        <v>37.92</v>
      </c>
      <c r="I627" s="42">
        <v>43.67</v>
      </c>
      <c r="J627" s="42">
        <v>112</v>
      </c>
      <c r="K627" s="42">
        <v>112</v>
      </c>
      <c r="L627" s="42">
        <f t="shared" si="163"/>
        <v>49.65</v>
      </c>
      <c r="M627" s="42">
        <v>49.65</v>
      </c>
      <c r="N627" s="42">
        <v>123</v>
      </c>
      <c r="O627" s="42">
        <f t="shared" si="164"/>
        <v>123</v>
      </c>
      <c r="P627" s="203">
        <f t="shared" si="165"/>
        <v>123</v>
      </c>
    </row>
    <row r="628" spans="1:16" hidden="1" outlineLevel="1" x14ac:dyDescent="0.25">
      <c r="A628" s="39" t="s">
        <v>11</v>
      </c>
      <c r="B628" s="46" t="s">
        <v>501</v>
      </c>
      <c r="C628" s="202" t="s">
        <v>294</v>
      </c>
      <c r="D628" s="39" t="s">
        <v>32</v>
      </c>
      <c r="E628" s="39" t="s">
        <v>17</v>
      </c>
      <c r="F628" s="39" t="s">
        <v>298</v>
      </c>
      <c r="G628" s="39" t="s">
        <v>299</v>
      </c>
      <c r="H628" s="42">
        <v>671.8</v>
      </c>
      <c r="I628" s="42">
        <v>848.68</v>
      </c>
      <c r="J628" s="42">
        <v>1120</v>
      </c>
      <c r="K628" s="42">
        <v>1120</v>
      </c>
      <c r="L628" s="42">
        <f t="shared" si="163"/>
        <v>859.19</v>
      </c>
      <c r="M628" s="42">
        <v>859.19</v>
      </c>
      <c r="N628" s="42">
        <v>1407</v>
      </c>
      <c r="O628" s="42">
        <f t="shared" si="164"/>
        <v>1407</v>
      </c>
      <c r="P628" s="203">
        <f t="shared" si="165"/>
        <v>1407</v>
      </c>
    </row>
    <row r="629" spans="1:16" hidden="1" outlineLevel="1" x14ac:dyDescent="0.25">
      <c r="A629" s="39" t="s">
        <v>11</v>
      </c>
      <c r="B629" s="46" t="s">
        <v>501</v>
      </c>
      <c r="C629" s="202" t="s">
        <v>294</v>
      </c>
      <c r="D629" s="39" t="s">
        <v>36</v>
      </c>
      <c r="E629" s="39" t="s">
        <v>17</v>
      </c>
      <c r="F629" s="39" t="s">
        <v>298</v>
      </c>
      <c r="G629" s="39" t="s">
        <v>38</v>
      </c>
      <c r="H629" s="42">
        <v>38.04</v>
      </c>
      <c r="I629" s="42">
        <v>48.28</v>
      </c>
      <c r="J629" s="42">
        <v>64</v>
      </c>
      <c r="K629" s="42">
        <v>64</v>
      </c>
      <c r="L629" s="42">
        <f t="shared" si="163"/>
        <v>49.43</v>
      </c>
      <c r="M629" s="42">
        <v>49.43</v>
      </c>
      <c r="N629" s="42">
        <v>70</v>
      </c>
      <c r="O629" s="42">
        <f t="shared" si="164"/>
        <v>70</v>
      </c>
      <c r="P629" s="203">
        <f t="shared" si="165"/>
        <v>70</v>
      </c>
    </row>
    <row r="630" spans="1:16" hidden="1" outlineLevel="1" x14ac:dyDescent="0.25">
      <c r="A630" s="39" t="s">
        <v>11</v>
      </c>
      <c r="B630" s="46" t="s">
        <v>501</v>
      </c>
      <c r="C630" s="202" t="s">
        <v>294</v>
      </c>
      <c r="D630" s="39" t="s">
        <v>40</v>
      </c>
      <c r="E630" s="39" t="s">
        <v>17</v>
      </c>
      <c r="F630" s="39" t="s">
        <v>298</v>
      </c>
      <c r="G630" s="39" t="s">
        <v>42</v>
      </c>
      <c r="H630" s="42">
        <v>108.35</v>
      </c>
      <c r="I630" s="42">
        <v>139.83000000000001</v>
      </c>
      <c r="J630" s="42">
        <v>240</v>
      </c>
      <c r="K630" s="42">
        <v>240</v>
      </c>
      <c r="L630" s="42">
        <f t="shared" si="163"/>
        <v>139.1</v>
      </c>
      <c r="M630" s="42">
        <v>139.1</v>
      </c>
      <c r="N630" s="42">
        <v>264</v>
      </c>
      <c r="O630" s="42">
        <f t="shared" si="164"/>
        <v>264</v>
      </c>
      <c r="P630" s="203">
        <f t="shared" si="165"/>
        <v>264</v>
      </c>
    </row>
    <row r="631" spans="1:16" hidden="1" outlineLevel="1" x14ac:dyDescent="0.25">
      <c r="A631" s="39" t="s">
        <v>11</v>
      </c>
      <c r="B631" s="46" t="s">
        <v>501</v>
      </c>
      <c r="C631" s="202" t="s">
        <v>294</v>
      </c>
      <c r="D631" s="39" t="s">
        <v>44</v>
      </c>
      <c r="E631" s="39" t="s">
        <v>17</v>
      </c>
      <c r="F631" s="39" t="s">
        <v>298</v>
      </c>
      <c r="G631" s="39" t="s">
        <v>46</v>
      </c>
      <c r="H631" s="42">
        <v>23.52</v>
      </c>
      <c r="I631" s="42">
        <v>27.39</v>
      </c>
      <c r="J631" s="42">
        <v>80</v>
      </c>
      <c r="K631" s="42">
        <v>80</v>
      </c>
      <c r="L631" s="42">
        <f t="shared" si="163"/>
        <v>35.26</v>
      </c>
      <c r="M631" s="42">
        <v>35.26</v>
      </c>
      <c r="N631" s="42">
        <v>88</v>
      </c>
      <c r="O631" s="42">
        <f t="shared" si="164"/>
        <v>88</v>
      </c>
      <c r="P631" s="203">
        <f t="shared" si="165"/>
        <v>88</v>
      </c>
    </row>
    <row r="632" spans="1:16" hidden="1" outlineLevel="1" x14ac:dyDescent="0.25">
      <c r="A632" s="39" t="s">
        <v>11</v>
      </c>
      <c r="B632" s="46" t="s">
        <v>501</v>
      </c>
      <c r="C632" s="202" t="s">
        <v>294</v>
      </c>
      <c r="D632" s="39" t="s">
        <v>48</v>
      </c>
      <c r="E632" s="39" t="s">
        <v>17</v>
      </c>
      <c r="F632" s="39" t="s">
        <v>298</v>
      </c>
      <c r="G632" s="39" t="s">
        <v>50</v>
      </c>
      <c r="H632" s="42">
        <v>227.45</v>
      </c>
      <c r="I632" s="42">
        <v>287.41000000000003</v>
      </c>
      <c r="J632" s="42">
        <v>380</v>
      </c>
      <c r="K632" s="42">
        <v>380</v>
      </c>
      <c r="L632" s="42">
        <f t="shared" si="163"/>
        <v>291.19</v>
      </c>
      <c r="M632" s="42">
        <v>291.19</v>
      </c>
      <c r="N632" s="42">
        <v>419</v>
      </c>
      <c r="O632" s="42">
        <f t="shared" si="164"/>
        <v>419</v>
      </c>
      <c r="P632" s="203">
        <f t="shared" si="165"/>
        <v>419</v>
      </c>
    </row>
    <row r="633" spans="1:16" hidden="1" outlineLevel="1" x14ac:dyDescent="0.25">
      <c r="A633" s="39" t="s">
        <v>11</v>
      </c>
      <c r="B633" s="46" t="s">
        <v>501</v>
      </c>
      <c r="C633" s="202" t="s">
        <v>294</v>
      </c>
      <c r="D633" s="39" t="s">
        <v>54</v>
      </c>
      <c r="E633" s="39" t="s">
        <v>17</v>
      </c>
      <c r="F633" s="39" t="s">
        <v>298</v>
      </c>
      <c r="G633" s="39" t="s">
        <v>55</v>
      </c>
      <c r="H633" s="42">
        <v>0</v>
      </c>
      <c r="I633" s="42">
        <v>0</v>
      </c>
      <c r="J633" s="42">
        <v>0</v>
      </c>
      <c r="K633" s="42">
        <v>25</v>
      </c>
      <c r="L633" s="42">
        <f>M633/10*12</f>
        <v>12.54</v>
      </c>
      <c r="M633" s="42">
        <v>10.45</v>
      </c>
      <c r="N633" s="42">
        <v>25</v>
      </c>
      <c r="O633" s="42">
        <f t="shared" si="164"/>
        <v>25</v>
      </c>
      <c r="P633" s="203">
        <f t="shared" si="165"/>
        <v>25</v>
      </c>
    </row>
    <row r="634" spans="1:16" hidden="1" outlineLevel="1" x14ac:dyDescent="0.25">
      <c r="A634" s="39" t="s">
        <v>11</v>
      </c>
      <c r="B634" s="46" t="s">
        <v>501</v>
      </c>
      <c r="C634" s="202" t="s">
        <v>294</v>
      </c>
      <c r="D634" s="39" t="s">
        <v>88</v>
      </c>
      <c r="E634" s="39" t="s">
        <v>17</v>
      </c>
      <c r="F634" s="39" t="s">
        <v>298</v>
      </c>
      <c r="G634" s="39" t="s">
        <v>92</v>
      </c>
      <c r="H634" s="42">
        <v>0</v>
      </c>
      <c r="I634" s="42">
        <v>0</v>
      </c>
      <c r="J634" s="42">
        <v>0</v>
      </c>
      <c r="K634" s="42">
        <v>350</v>
      </c>
      <c r="L634" s="42">
        <f>M634/10*12</f>
        <v>410.11200000000002</v>
      </c>
      <c r="M634" s="42">
        <v>341.76</v>
      </c>
      <c r="N634" s="42">
        <v>450</v>
      </c>
      <c r="O634" s="42">
        <f t="shared" si="164"/>
        <v>450</v>
      </c>
      <c r="P634" s="203">
        <f t="shared" si="165"/>
        <v>450</v>
      </c>
    </row>
    <row r="635" spans="1:16" hidden="1" outlineLevel="1" x14ac:dyDescent="0.25">
      <c r="A635" s="39" t="s">
        <v>11</v>
      </c>
      <c r="B635" s="46" t="s">
        <v>501</v>
      </c>
      <c r="C635" s="202" t="s">
        <v>294</v>
      </c>
      <c r="D635" s="39" t="s">
        <v>101</v>
      </c>
      <c r="E635" s="39" t="s">
        <v>17</v>
      </c>
      <c r="F635" s="39" t="s">
        <v>298</v>
      </c>
      <c r="G635" s="39" t="s">
        <v>314</v>
      </c>
      <c r="H635" s="42">
        <v>0</v>
      </c>
      <c r="I635" s="42">
        <v>0</v>
      </c>
      <c r="J635" s="42">
        <v>0</v>
      </c>
      <c r="K635" s="42">
        <v>125</v>
      </c>
      <c r="L635" s="42">
        <f>M635/10*12</f>
        <v>150</v>
      </c>
      <c r="M635" s="42">
        <v>125</v>
      </c>
      <c r="N635" s="42">
        <v>150</v>
      </c>
      <c r="O635" s="42">
        <f t="shared" si="164"/>
        <v>150</v>
      </c>
      <c r="P635" s="203">
        <f t="shared" si="165"/>
        <v>150</v>
      </c>
    </row>
    <row r="636" spans="1:16" ht="15.75" hidden="1" outlineLevel="1" thickBot="1" x14ac:dyDescent="0.3">
      <c r="A636" s="45" t="s">
        <v>11</v>
      </c>
      <c r="B636" s="212" t="s">
        <v>501</v>
      </c>
      <c r="C636" s="202" t="s">
        <v>294</v>
      </c>
      <c r="D636" s="39" t="s">
        <v>107</v>
      </c>
      <c r="E636" s="39" t="s">
        <v>17</v>
      </c>
      <c r="F636" s="39" t="s">
        <v>298</v>
      </c>
      <c r="G636" s="39" t="s">
        <v>108</v>
      </c>
      <c r="H636" s="42">
        <v>1161.33</v>
      </c>
      <c r="I636" s="42">
        <v>1253.32</v>
      </c>
      <c r="J636" s="42">
        <v>2000</v>
      </c>
      <c r="K636" s="42">
        <v>1850</v>
      </c>
      <c r="L636" s="42">
        <v>1500</v>
      </c>
      <c r="M636" s="42">
        <v>1175.4000000000001</v>
      </c>
      <c r="N636" s="42">
        <v>1800</v>
      </c>
      <c r="O636" s="42">
        <f t="shared" si="164"/>
        <v>1800</v>
      </c>
      <c r="P636" s="203">
        <f t="shared" si="165"/>
        <v>1800</v>
      </c>
    </row>
    <row r="637" spans="1:16" ht="15.75" hidden="1" outlineLevel="1" thickBot="1" x14ac:dyDescent="0.3">
      <c r="A637" s="102"/>
      <c r="B637" s="103"/>
      <c r="C637" s="204" t="s">
        <v>294</v>
      </c>
      <c r="D637" s="45" t="s">
        <v>159</v>
      </c>
      <c r="E637" s="45" t="s">
        <v>17</v>
      </c>
      <c r="F637" s="45" t="s">
        <v>298</v>
      </c>
      <c r="G637" s="45" t="s">
        <v>325</v>
      </c>
      <c r="H637" s="64">
        <v>4848</v>
      </c>
      <c r="I637" s="64">
        <v>6063</v>
      </c>
      <c r="J637" s="64">
        <v>8000</v>
      </c>
      <c r="K637" s="64">
        <v>7650</v>
      </c>
      <c r="L637" s="64">
        <f>M637</f>
        <v>5988</v>
      </c>
      <c r="M637" s="64">
        <v>5988</v>
      </c>
      <c r="N637" s="64">
        <v>9300</v>
      </c>
      <c r="O637" s="64">
        <f t="shared" si="164"/>
        <v>9300</v>
      </c>
      <c r="P637" s="205">
        <f t="shared" si="165"/>
        <v>9300</v>
      </c>
    </row>
    <row r="638" spans="1:16" ht="15.75" collapsed="1" thickBot="1" x14ac:dyDescent="0.3">
      <c r="A638" s="112" t="s">
        <v>11</v>
      </c>
      <c r="B638" s="113" t="s">
        <v>520</v>
      </c>
      <c r="C638" s="245"/>
      <c r="D638" s="60" t="s">
        <v>593</v>
      </c>
      <c r="E638" s="76"/>
      <c r="F638" s="76"/>
      <c r="G638" s="61" t="s">
        <v>651</v>
      </c>
      <c r="H638" s="62">
        <f t="shared" ref="H638:P638" si="166">SUM(H624:H637)</f>
        <v>7514.61</v>
      </c>
      <c r="I638" s="62">
        <f t="shared" si="166"/>
        <v>9226.9500000000007</v>
      </c>
      <c r="J638" s="62">
        <f t="shared" si="166"/>
        <v>12796</v>
      </c>
      <c r="K638" s="62">
        <f t="shared" si="166"/>
        <v>12796</v>
      </c>
      <c r="L638" s="62">
        <f t="shared" si="166"/>
        <v>9938.1219999999994</v>
      </c>
      <c r="M638" s="62">
        <f t="shared" si="166"/>
        <v>9518.08</v>
      </c>
      <c r="N638" s="62">
        <f t="shared" si="166"/>
        <v>14976</v>
      </c>
      <c r="O638" s="62">
        <f t="shared" si="166"/>
        <v>14976</v>
      </c>
      <c r="P638" s="63">
        <f t="shared" si="166"/>
        <v>14976</v>
      </c>
    </row>
    <row r="639" spans="1:16" ht="15.75" thickBot="1" x14ac:dyDescent="0.3">
      <c r="A639" s="112" t="s">
        <v>11</v>
      </c>
      <c r="B639" s="113" t="s">
        <v>527</v>
      </c>
      <c r="C639" s="246"/>
      <c r="D639" s="60" t="s">
        <v>593</v>
      </c>
      <c r="E639" s="61" t="s">
        <v>17</v>
      </c>
      <c r="F639" s="61" t="s">
        <v>326</v>
      </c>
      <c r="G639" s="61" t="s">
        <v>327</v>
      </c>
      <c r="H639" s="62">
        <v>1699.89</v>
      </c>
      <c r="I639" s="62">
        <v>2999.4</v>
      </c>
      <c r="J639" s="62">
        <v>1700</v>
      </c>
      <c r="K639" s="62">
        <v>1700</v>
      </c>
      <c r="L639" s="62">
        <v>1700</v>
      </c>
      <c r="M639" s="62">
        <v>1105.68</v>
      </c>
      <c r="N639" s="62">
        <v>0</v>
      </c>
      <c r="O639" s="62">
        <f t="shared" si="164"/>
        <v>0</v>
      </c>
      <c r="P639" s="63">
        <f t="shared" si="165"/>
        <v>0</v>
      </c>
    </row>
    <row r="640" spans="1:16" ht="15.75" thickBot="1" x14ac:dyDescent="0.3">
      <c r="A640" s="40" t="s">
        <v>11</v>
      </c>
      <c r="B640" s="114" t="s">
        <v>523</v>
      </c>
      <c r="C640" s="246"/>
      <c r="D640" s="60" t="s">
        <v>593</v>
      </c>
      <c r="E640" s="61" t="s">
        <v>17</v>
      </c>
      <c r="F640" s="61" t="s">
        <v>328</v>
      </c>
      <c r="G640" s="61" t="s">
        <v>329</v>
      </c>
      <c r="H640" s="62">
        <v>1699.36</v>
      </c>
      <c r="I640" s="62">
        <v>2725.45</v>
      </c>
      <c r="J640" s="62">
        <v>1700</v>
      </c>
      <c r="K640" s="62">
        <v>1700</v>
      </c>
      <c r="L640" s="62">
        <v>1700</v>
      </c>
      <c r="M640" s="62">
        <v>992.28</v>
      </c>
      <c r="N640" s="62">
        <v>0</v>
      </c>
      <c r="O640" s="62">
        <f t="shared" si="164"/>
        <v>0</v>
      </c>
      <c r="P640" s="63">
        <f t="shared" si="165"/>
        <v>0</v>
      </c>
    </row>
    <row r="641" spans="1:16" hidden="1" outlineLevel="1" x14ac:dyDescent="0.25">
      <c r="A641" s="40"/>
      <c r="B641" s="114"/>
      <c r="C641" s="246"/>
      <c r="D641" s="58" t="s">
        <v>13</v>
      </c>
      <c r="E641" s="40" t="s">
        <v>17</v>
      </c>
      <c r="F641" s="40" t="s">
        <v>295</v>
      </c>
      <c r="G641" s="40" t="s">
        <v>296</v>
      </c>
      <c r="H641" s="41">
        <v>8203.57</v>
      </c>
      <c r="I641" s="41">
        <v>9002.7199999999993</v>
      </c>
      <c r="J641" s="41">
        <v>11925</v>
      </c>
      <c r="K641" s="41">
        <v>10725</v>
      </c>
      <c r="L641" s="41">
        <f>M641+Q642</f>
        <v>8615.18</v>
      </c>
      <c r="M641" s="41">
        <v>8615.18</v>
      </c>
      <c r="N641" s="41">
        <v>11925</v>
      </c>
      <c r="O641" s="41">
        <f t="shared" si="164"/>
        <v>11925</v>
      </c>
      <c r="P641" s="201">
        <f t="shared" si="165"/>
        <v>11925</v>
      </c>
    </row>
    <row r="642" spans="1:16" ht="15" customHeight="1" collapsed="1" x14ac:dyDescent="0.25">
      <c r="A642" s="39" t="s">
        <v>11</v>
      </c>
      <c r="B642" s="46" t="s">
        <v>523</v>
      </c>
      <c r="C642" s="246"/>
      <c r="D642" s="58" t="s">
        <v>468</v>
      </c>
      <c r="E642" s="40"/>
      <c r="F642" s="40"/>
      <c r="G642" s="40" t="s">
        <v>610</v>
      </c>
      <c r="H642" s="41">
        <f>SUM(H641)</f>
        <v>8203.57</v>
      </c>
      <c r="I642" s="41">
        <f t="shared" ref="I642:P642" si="167">SUM(I641)</f>
        <v>9002.7199999999993</v>
      </c>
      <c r="J642" s="41">
        <f t="shared" si="167"/>
        <v>11925</v>
      </c>
      <c r="K642" s="41">
        <f t="shared" si="167"/>
        <v>10725</v>
      </c>
      <c r="L642" s="41">
        <f t="shared" si="167"/>
        <v>8615.18</v>
      </c>
      <c r="M642" s="41">
        <f t="shared" si="167"/>
        <v>8615.18</v>
      </c>
      <c r="N642" s="41">
        <f t="shared" si="167"/>
        <v>11925</v>
      </c>
      <c r="O642" s="41">
        <f t="shared" si="167"/>
        <v>11925</v>
      </c>
      <c r="P642" s="201">
        <f t="shared" si="167"/>
        <v>11925</v>
      </c>
    </row>
    <row r="643" spans="1:16" hidden="1" outlineLevel="1" collapsed="1" x14ac:dyDescent="0.25">
      <c r="A643" s="39" t="s">
        <v>11</v>
      </c>
      <c r="B643" s="46" t="s">
        <v>523</v>
      </c>
      <c r="C643" s="246"/>
      <c r="D643" s="47" t="s">
        <v>22</v>
      </c>
      <c r="E643" s="39" t="s">
        <v>17</v>
      </c>
      <c r="F643" s="39" t="s">
        <v>295</v>
      </c>
      <c r="G643" s="39" t="s">
        <v>23</v>
      </c>
      <c r="H643" s="42">
        <v>146.43</v>
      </c>
      <c r="I643" s="42">
        <v>139.9</v>
      </c>
      <c r="J643" s="42">
        <v>192</v>
      </c>
      <c r="K643" s="42">
        <v>492</v>
      </c>
      <c r="L643" s="42">
        <f>M643+$Q$669*0.1</f>
        <v>594.29999999999995</v>
      </c>
      <c r="M643" s="42">
        <v>594.29999999999995</v>
      </c>
      <c r="N643" s="42">
        <v>192</v>
      </c>
      <c r="O643" s="42">
        <f t="shared" ref="O643:O713" si="168">N643</f>
        <v>192</v>
      </c>
      <c r="P643" s="203">
        <f t="shared" ref="P643:P713" si="169">N643</f>
        <v>192</v>
      </c>
    </row>
    <row r="644" spans="1:16" ht="15" hidden="1" customHeight="1" outlineLevel="1" x14ac:dyDescent="0.25">
      <c r="A644" s="39"/>
      <c r="B644" s="46" t="s">
        <v>523</v>
      </c>
      <c r="C644" s="246"/>
      <c r="D644" s="47" t="s">
        <v>26</v>
      </c>
      <c r="E644" s="39" t="s">
        <v>17</v>
      </c>
      <c r="F644" s="39" t="s">
        <v>295</v>
      </c>
      <c r="G644" s="39" t="s">
        <v>205</v>
      </c>
      <c r="H644" s="42">
        <v>704.82</v>
      </c>
      <c r="I644" s="42">
        <v>763.9</v>
      </c>
      <c r="J644" s="42">
        <v>1000</v>
      </c>
      <c r="K644" s="42">
        <v>600</v>
      </c>
      <c r="L644" s="42">
        <f>M644</f>
        <v>217.56</v>
      </c>
      <c r="M644" s="42">
        <v>217.56</v>
      </c>
      <c r="N644" s="42">
        <v>1000</v>
      </c>
      <c r="O644" s="42">
        <f t="shared" si="168"/>
        <v>1000</v>
      </c>
      <c r="P644" s="203">
        <f t="shared" si="169"/>
        <v>1000</v>
      </c>
    </row>
    <row r="645" spans="1:16" ht="15" hidden="1" customHeight="1" outlineLevel="1" x14ac:dyDescent="0.25">
      <c r="A645" s="39" t="s">
        <v>11</v>
      </c>
      <c r="B645" s="46" t="s">
        <v>523</v>
      </c>
      <c r="C645" s="246"/>
      <c r="D645" s="47" t="s">
        <v>549</v>
      </c>
      <c r="E645" s="39" t="s">
        <v>17</v>
      </c>
      <c r="F645" s="39" t="s">
        <v>295</v>
      </c>
      <c r="G645" s="39" t="s">
        <v>550</v>
      </c>
      <c r="H645" s="42">
        <v>0</v>
      </c>
      <c r="I645" s="42">
        <v>0</v>
      </c>
      <c r="J645" s="42">
        <v>0</v>
      </c>
      <c r="K645" s="42">
        <v>0</v>
      </c>
      <c r="L645" s="42">
        <v>0</v>
      </c>
      <c r="M645" s="42">
        <v>0</v>
      </c>
      <c r="N645" s="42">
        <v>275</v>
      </c>
      <c r="O645" s="42">
        <f t="shared" si="168"/>
        <v>275</v>
      </c>
      <c r="P645" s="203">
        <f t="shared" si="169"/>
        <v>275</v>
      </c>
    </row>
    <row r="646" spans="1:16" ht="15" hidden="1" customHeight="1" outlineLevel="1" x14ac:dyDescent="0.25">
      <c r="A646" s="39" t="s">
        <v>11</v>
      </c>
      <c r="B646" s="46" t="s">
        <v>523</v>
      </c>
      <c r="C646" s="246"/>
      <c r="D646" s="47" t="s">
        <v>29</v>
      </c>
      <c r="E646" s="39" t="s">
        <v>17</v>
      </c>
      <c r="F646" s="39" t="s">
        <v>295</v>
      </c>
      <c r="G646" s="39" t="s">
        <v>30</v>
      </c>
      <c r="H646" s="42">
        <v>101.52</v>
      </c>
      <c r="I646" s="42">
        <v>112.29</v>
      </c>
      <c r="J646" s="42">
        <v>167</v>
      </c>
      <c r="K646" s="42">
        <v>167</v>
      </c>
      <c r="L646" s="42">
        <f>M646+$Q$669*0.014</f>
        <v>100.93</v>
      </c>
      <c r="M646" s="42">
        <v>100.93</v>
      </c>
      <c r="N646" s="42">
        <v>167</v>
      </c>
      <c r="O646" s="42">
        <f t="shared" si="168"/>
        <v>167</v>
      </c>
      <c r="P646" s="203">
        <f t="shared" si="169"/>
        <v>167</v>
      </c>
    </row>
    <row r="647" spans="1:16" ht="15" hidden="1" customHeight="1" outlineLevel="1" x14ac:dyDescent="0.25">
      <c r="A647" s="39" t="s">
        <v>11</v>
      </c>
      <c r="B647" s="46" t="s">
        <v>523</v>
      </c>
      <c r="C647" s="246"/>
      <c r="D647" s="47" t="s">
        <v>32</v>
      </c>
      <c r="E647" s="39" t="s">
        <v>17</v>
      </c>
      <c r="F647" s="39" t="s">
        <v>295</v>
      </c>
      <c r="G647" s="39" t="s">
        <v>34</v>
      </c>
      <c r="H647" s="42">
        <v>1195.42</v>
      </c>
      <c r="I647" s="42">
        <v>1264.54</v>
      </c>
      <c r="J647" s="42">
        <v>1669</v>
      </c>
      <c r="K647" s="42">
        <v>1669</v>
      </c>
      <c r="L647" s="42">
        <f>M647+$Q$669*0.14</f>
        <v>1182.73</v>
      </c>
      <c r="M647" s="42">
        <v>1182.73</v>
      </c>
      <c r="N647" s="42">
        <v>1669</v>
      </c>
      <c r="O647" s="42">
        <f t="shared" si="168"/>
        <v>1669</v>
      </c>
      <c r="P647" s="203">
        <f t="shared" si="169"/>
        <v>1669</v>
      </c>
    </row>
    <row r="648" spans="1:16" ht="15" hidden="1" customHeight="1" outlineLevel="1" x14ac:dyDescent="0.25">
      <c r="A648" s="39" t="s">
        <v>11</v>
      </c>
      <c r="B648" s="46" t="s">
        <v>523</v>
      </c>
      <c r="C648" s="246"/>
      <c r="D648" s="47" t="s">
        <v>36</v>
      </c>
      <c r="E648" s="39" t="s">
        <v>17</v>
      </c>
      <c r="F648" s="39" t="s">
        <v>295</v>
      </c>
      <c r="G648" s="39" t="s">
        <v>38</v>
      </c>
      <c r="H648" s="42">
        <v>68.23</v>
      </c>
      <c r="I648" s="42">
        <v>72.17</v>
      </c>
      <c r="J648" s="42">
        <v>95</v>
      </c>
      <c r="K648" s="42">
        <v>95</v>
      </c>
      <c r="L648" s="42">
        <f>M648+$Q$669*0.008</f>
        <v>67.349999999999994</v>
      </c>
      <c r="M648" s="42">
        <v>67.349999999999994</v>
      </c>
      <c r="N648" s="42">
        <v>95</v>
      </c>
      <c r="O648" s="42">
        <f t="shared" si="168"/>
        <v>95</v>
      </c>
      <c r="P648" s="203">
        <f t="shared" si="169"/>
        <v>95</v>
      </c>
    </row>
    <row r="649" spans="1:16" ht="15" hidden="1" customHeight="1" outlineLevel="1" x14ac:dyDescent="0.25">
      <c r="A649" s="39" t="s">
        <v>11</v>
      </c>
      <c r="B649" s="46" t="s">
        <v>523</v>
      </c>
      <c r="C649" s="246"/>
      <c r="D649" s="47" t="s">
        <v>40</v>
      </c>
      <c r="E649" s="39" t="s">
        <v>17</v>
      </c>
      <c r="F649" s="39" t="s">
        <v>295</v>
      </c>
      <c r="G649" s="39" t="s">
        <v>42</v>
      </c>
      <c r="H649" s="42">
        <v>256.12</v>
      </c>
      <c r="I649" s="42">
        <v>268.32</v>
      </c>
      <c r="J649" s="42">
        <v>358</v>
      </c>
      <c r="K649" s="42">
        <v>358</v>
      </c>
      <c r="L649" s="42">
        <f>M649+$Q$669*0.03</f>
        <v>240.55</v>
      </c>
      <c r="M649" s="42">
        <v>240.55</v>
      </c>
      <c r="N649" s="42">
        <v>358</v>
      </c>
      <c r="O649" s="42">
        <f t="shared" si="168"/>
        <v>358</v>
      </c>
      <c r="P649" s="203">
        <f t="shared" si="169"/>
        <v>358</v>
      </c>
    </row>
    <row r="650" spans="1:16" ht="15" hidden="1" customHeight="1" outlineLevel="1" x14ac:dyDescent="0.25">
      <c r="A650" s="39" t="s">
        <v>11</v>
      </c>
      <c r="B650" s="46" t="s">
        <v>523</v>
      </c>
      <c r="C650" s="246"/>
      <c r="D650" s="47" t="s">
        <v>44</v>
      </c>
      <c r="E650" s="39" t="s">
        <v>17</v>
      </c>
      <c r="F650" s="39" t="s">
        <v>295</v>
      </c>
      <c r="G650" s="39" t="s">
        <v>46</v>
      </c>
      <c r="H650" s="42">
        <v>72.510000000000005</v>
      </c>
      <c r="I650" s="42">
        <v>79.37</v>
      </c>
      <c r="J650" s="42">
        <v>119</v>
      </c>
      <c r="K650" s="42">
        <v>119</v>
      </c>
      <c r="L650" s="42">
        <f>M650+$Q$669*0.01</f>
        <v>71.14</v>
      </c>
      <c r="M650" s="42">
        <v>71.14</v>
      </c>
      <c r="N650" s="42">
        <v>119</v>
      </c>
      <c r="O650" s="42">
        <f t="shared" si="168"/>
        <v>119</v>
      </c>
      <c r="P650" s="203">
        <f t="shared" si="169"/>
        <v>119</v>
      </c>
    </row>
    <row r="651" spans="1:16" ht="15" hidden="1" customHeight="1" outlineLevel="1" x14ac:dyDescent="0.25">
      <c r="A651" s="39"/>
      <c r="B651" s="46"/>
      <c r="C651" s="246"/>
      <c r="D651" s="47" t="s">
        <v>48</v>
      </c>
      <c r="E651" s="39" t="s">
        <v>17</v>
      </c>
      <c r="F651" s="39" t="s">
        <v>295</v>
      </c>
      <c r="G651" s="39" t="s">
        <v>50</v>
      </c>
      <c r="H651" s="42">
        <v>405.47</v>
      </c>
      <c r="I651" s="42">
        <v>428.84</v>
      </c>
      <c r="J651" s="42">
        <v>566</v>
      </c>
      <c r="K651" s="42">
        <v>566</v>
      </c>
      <c r="L651" s="42">
        <f>M651+$Q$669*0.0475</f>
        <v>401.16</v>
      </c>
      <c r="M651" s="42">
        <v>401.16</v>
      </c>
      <c r="N651" s="42">
        <v>566</v>
      </c>
      <c r="O651" s="42">
        <f t="shared" si="168"/>
        <v>566</v>
      </c>
      <c r="P651" s="203">
        <f t="shared" si="169"/>
        <v>566</v>
      </c>
    </row>
    <row r="652" spans="1:16" ht="15" customHeight="1" collapsed="1" x14ac:dyDescent="0.25">
      <c r="A652" s="39" t="s">
        <v>11</v>
      </c>
      <c r="B652" s="46" t="s">
        <v>523</v>
      </c>
      <c r="C652" s="246"/>
      <c r="D652" s="58" t="s">
        <v>469</v>
      </c>
      <c r="E652" s="40"/>
      <c r="F652" s="40"/>
      <c r="G652" s="40" t="s">
        <v>652</v>
      </c>
      <c r="H652" s="41">
        <f>SUM(H643:H651)</f>
        <v>2950.5200000000004</v>
      </c>
      <c r="I652" s="41">
        <f t="shared" ref="I652:P652" si="170">SUM(I643:I651)</f>
        <v>3129.3300000000004</v>
      </c>
      <c r="J652" s="41">
        <f t="shared" si="170"/>
        <v>4166</v>
      </c>
      <c r="K652" s="41">
        <f t="shared" si="170"/>
        <v>4066</v>
      </c>
      <c r="L652" s="41">
        <f t="shared" si="170"/>
        <v>2875.72</v>
      </c>
      <c r="M652" s="41">
        <f t="shared" si="170"/>
        <v>2875.72</v>
      </c>
      <c r="N652" s="41">
        <f t="shared" si="170"/>
        <v>4441</v>
      </c>
      <c r="O652" s="41">
        <f t="shared" si="170"/>
        <v>4441</v>
      </c>
      <c r="P652" s="201">
        <f t="shared" si="170"/>
        <v>4441</v>
      </c>
    </row>
    <row r="653" spans="1:16" hidden="1" outlineLevel="1" collapsed="1" x14ac:dyDescent="0.25">
      <c r="A653" s="39" t="s">
        <v>11</v>
      </c>
      <c r="B653" s="46" t="s">
        <v>523</v>
      </c>
      <c r="C653" s="246"/>
      <c r="D653" s="47" t="s">
        <v>56</v>
      </c>
      <c r="E653" s="39" t="s">
        <v>17</v>
      </c>
      <c r="F653" s="39" t="s">
        <v>295</v>
      </c>
      <c r="G653" s="39" t="s">
        <v>189</v>
      </c>
      <c r="H653" s="42">
        <v>3005.13</v>
      </c>
      <c r="I653" s="42">
        <v>3637.66</v>
      </c>
      <c r="J653" s="42">
        <v>4000</v>
      </c>
      <c r="K653" s="42">
        <v>3900</v>
      </c>
      <c r="L653" s="42">
        <f t="shared" ref="L653:L668" si="171">M653/10*12</f>
        <v>3508.9199999999996</v>
      </c>
      <c r="M653" s="42">
        <v>2924.1</v>
      </c>
      <c r="N653" s="42">
        <v>3900</v>
      </c>
      <c r="O653" s="42">
        <f t="shared" si="168"/>
        <v>3900</v>
      </c>
      <c r="P653" s="203">
        <f t="shared" si="169"/>
        <v>3900</v>
      </c>
    </row>
    <row r="654" spans="1:16" ht="15" hidden="1" customHeight="1" outlineLevel="1" x14ac:dyDescent="0.25">
      <c r="A654" s="39" t="s">
        <v>11</v>
      </c>
      <c r="B654" s="46" t="s">
        <v>523</v>
      </c>
      <c r="C654" s="246"/>
      <c r="D654" s="47" t="s">
        <v>56</v>
      </c>
      <c r="E654" s="39" t="s">
        <v>17</v>
      </c>
      <c r="F654" s="39" t="s">
        <v>295</v>
      </c>
      <c r="G654" s="39" t="s">
        <v>57</v>
      </c>
      <c r="H654" s="42">
        <v>5795.95</v>
      </c>
      <c r="I654" s="42">
        <v>12572.47</v>
      </c>
      <c r="J654" s="42">
        <v>10500</v>
      </c>
      <c r="K654" s="42">
        <v>10230</v>
      </c>
      <c r="L654" s="42">
        <f t="shared" si="171"/>
        <v>7151.076</v>
      </c>
      <c r="M654" s="42">
        <v>5959.23</v>
      </c>
      <c r="N654" s="42">
        <v>7000</v>
      </c>
      <c r="O654" s="42">
        <f t="shared" si="168"/>
        <v>7000</v>
      </c>
      <c r="P654" s="203">
        <f t="shared" si="169"/>
        <v>7000</v>
      </c>
    </row>
    <row r="655" spans="1:16" ht="15" hidden="1" customHeight="1" outlineLevel="1" x14ac:dyDescent="0.25">
      <c r="A655" s="39" t="s">
        <v>11</v>
      </c>
      <c r="B655" s="46" t="s">
        <v>523</v>
      </c>
      <c r="C655" s="246"/>
      <c r="D655" s="47" t="s">
        <v>65</v>
      </c>
      <c r="E655" s="39" t="s">
        <v>17</v>
      </c>
      <c r="F655" s="39" t="s">
        <v>295</v>
      </c>
      <c r="G655" s="39" t="s">
        <v>66</v>
      </c>
      <c r="H655" s="42">
        <v>168.64</v>
      </c>
      <c r="I655" s="42">
        <v>127.57</v>
      </c>
      <c r="J655" s="42">
        <v>150</v>
      </c>
      <c r="K655" s="42">
        <v>540</v>
      </c>
      <c r="L655" s="42">
        <f t="shared" si="171"/>
        <v>636.15599999999995</v>
      </c>
      <c r="M655" s="42">
        <v>530.13</v>
      </c>
      <c r="N655" s="42">
        <v>600</v>
      </c>
      <c r="O655" s="42">
        <f t="shared" si="168"/>
        <v>600</v>
      </c>
      <c r="P655" s="203">
        <f t="shared" si="169"/>
        <v>600</v>
      </c>
    </row>
    <row r="656" spans="1:16" ht="15" hidden="1" customHeight="1" outlineLevel="1" x14ac:dyDescent="0.25">
      <c r="A656" s="39"/>
      <c r="B656" s="46"/>
      <c r="C656" s="246"/>
      <c r="D656" s="47" t="s">
        <v>74</v>
      </c>
      <c r="E656" s="39" t="s">
        <v>17</v>
      </c>
      <c r="F656" s="39" t="s">
        <v>295</v>
      </c>
      <c r="G656" s="39" t="s">
        <v>310</v>
      </c>
      <c r="H656" s="42">
        <v>703.99</v>
      </c>
      <c r="I656" s="42">
        <v>708.33</v>
      </c>
      <c r="J656" s="42">
        <v>700</v>
      </c>
      <c r="K656" s="42">
        <v>680</v>
      </c>
      <c r="L656" s="42">
        <f t="shared" si="171"/>
        <v>647.79600000000005</v>
      </c>
      <c r="M656" s="42">
        <v>539.83000000000004</v>
      </c>
      <c r="N656" s="42">
        <v>650</v>
      </c>
      <c r="O656" s="42">
        <f t="shared" si="168"/>
        <v>650</v>
      </c>
      <c r="P656" s="203">
        <f t="shared" si="169"/>
        <v>650</v>
      </c>
    </row>
    <row r="657" spans="1:16" ht="15" customHeight="1" collapsed="1" x14ac:dyDescent="0.25">
      <c r="A657" s="39" t="s">
        <v>11</v>
      </c>
      <c r="B657" s="46" t="s">
        <v>523</v>
      </c>
      <c r="C657" s="246"/>
      <c r="D657" s="58" t="s">
        <v>481</v>
      </c>
      <c r="E657" s="40"/>
      <c r="F657" s="40"/>
      <c r="G657" s="40" t="s">
        <v>567</v>
      </c>
      <c r="H657" s="41">
        <f>SUM(H653:H656)</f>
        <v>9673.7099999999991</v>
      </c>
      <c r="I657" s="41">
        <f t="shared" ref="I657:P657" si="172">SUM(I653:I656)</f>
        <v>17046.03</v>
      </c>
      <c r="J657" s="41">
        <f t="shared" si="172"/>
        <v>15350</v>
      </c>
      <c r="K657" s="41">
        <f t="shared" si="172"/>
        <v>15350</v>
      </c>
      <c r="L657" s="41">
        <f t="shared" si="172"/>
        <v>11943.947999999999</v>
      </c>
      <c r="M657" s="41">
        <f t="shared" si="172"/>
        <v>9953.2899999999991</v>
      </c>
      <c r="N657" s="41">
        <f t="shared" si="172"/>
        <v>12150</v>
      </c>
      <c r="O657" s="41">
        <f t="shared" si="172"/>
        <v>12150</v>
      </c>
      <c r="P657" s="201">
        <f t="shared" si="172"/>
        <v>12150</v>
      </c>
    </row>
    <row r="658" spans="1:16" hidden="1" outlineLevel="1" collapsed="1" x14ac:dyDescent="0.25">
      <c r="A658" s="39" t="s">
        <v>11</v>
      </c>
      <c r="B658" s="46" t="s">
        <v>523</v>
      </c>
      <c r="C658" s="246"/>
      <c r="D658" s="47" t="s">
        <v>77</v>
      </c>
      <c r="E658" s="39" t="s">
        <v>17</v>
      </c>
      <c r="F658" s="39" t="s">
        <v>295</v>
      </c>
      <c r="G658" s="39" t="s">
        <v>79</v>
      </c>
      <c r="H658" s="42">
        <v>0</v>
      </c>
      <c r="I658" s="42">
        <v>196.7</v>
      </c>
      <c r="J658" s="42">
        <v>200</v>
      </c>
      <c r="K658" s="42">
        <v>175</v>
      </c>
      <c r="L658" s="42">
        <f t="shared" si="171"/>
        <v>72</v>
      </c>
      <c r="M658" s="42">
        <v>60</v>
      </c>
      <c r="N658" s="42">
        <v>150</v>
      </c>
      <c r="O658" s="42">
        <f t="shared" si="168"/>
        <v>150</v>
      </c>
      <c r="P658" s="203">
        <f t="shared" si="169"/>
        <v>150</v>
      </c>
    </row>
    <row r="659" spans="1:16" ht="13.5" hidden="1" customHeight="1" outlineLevel="1" x14ac:dyDescent="0.25">
      <c r="A659" s="39" t="s">
        <v>11</v>
      </c>
      <c r="B659" s="46" t="s">
        <v>523</v>
      </c>
      <c r="C659" s="246"/>
      <c r="D659" s="47" t="s">
        <v>88</v>
      </c>
      <c r="E659" s="39" t="s">
        <v>17</v>
      </c>
      <c r="F659" s="39" t="s">
        <v>295</v>
      </c>
      <c r="G659" s="39" t="s">
        <v>192</v>
      </c>
      <c r="H659" s="42">
        <v>67.3</v>
      </c>
      <c r="I659" s="42">
        <v>78.069999999999993</v>
      </c>
      <c r="J659" s="42">
        <v>50</v>
      </c>
      <c r="K659" s="42">
        <v>50</v>
      </c>
      <c r="L659" s="42">
        <f t="shared" si="171"/>
        <v>55.199999999999996</v>
      </c>
      <c r="M659" s="42">
        <v>46</v>
      </c>
      <c r="N659" s="42">
        <v>100</v>
      </c>
      <c r="O659" s="42">
        <f t="shared" si="168"/>
        <v>100</v>
      </c>
      <c r="P659" s="203">
        <f t="shared" si="169"/>
        <v>100</v>
      </c>
    </row>
    <row r="660" spans="1:16" ht="15" hidden="1" customHeight="1" outlineLevel="1" x14ac:dyDescent="0.25">
      <c r="A660" s="39" t="s">
        <v>11</v>
      </c>
      <c r="B660" s="46" t="s">
        <v>523</v>
      </c>
      <c r="C660" s="246"/>
      <c r="D660" s="47" t="s">
        <v>88</v>
      </c>
      <c r="E660" s="39" t="s">
        <v>17</v>
      </c>
      <c r="F660" s="39" t="s">
        <v>295</v>
      </c>
      <c r="G660" s="39" t="s">
        <v>93</v>
      </c>
      <c r="H660" s="42">
        <v>81.89</v>
      </c>
      <c r="I660" s="42">
        <v>38.520000000000003</v>
      </c>
      <c r="J660" s="42">
        <v>100</v>
      </c>
      <c r="K660" s="42">
        <v>184.22</v>
      </c>
      <c r="L660" s="42">
        <f t="shared" si="171"/>
        <v>196.18799999999999</v>
      </c>
      <c r="M660" s="42">
        <v>163.49</v>
      </c>
      <c r="N660" s="42">
        <v>200</v>
      </c>
      <c r="O660" s="42">
        <f t="shared" si="168"/>
        <v>200</v>
      </c>
      <c r="P660" s="203">
        <f t="shared" si="169"/>
        <v>200</v>
      </c>
    </row>
    <row r="661" spans="1:16" ht="15" hidden="1" customHeight="1" outlineLevel="1" x14ac:dyDescent="0.25">
      <c r="A661" s="39" t="s">
        <v>11</v>
      </c>
      <c r="B661" s="46" t="s">
        <v>523</v>
      </c>
      <c r="C661" s="246"/>
      <c r="D661" s="47" t="s">
        <v>88</v>
      </c>
      <c r="E661" s="39" t="s">
        <v>17</v>
      </c>
      <c r="F661" s="39" t="s">
        <v>295</v>
      </c>
      <c r="G661" s="39" t="s">
        <v>92</v>
      </c>
      <c r="H661" s="42">
        <v>117.86</v>
      </c>
      <c r="I661" s="42">
        <v>5120.03</v>
      </c>
      <c r="J661" s="42">
        <v>150</v>
      </c>
      <c r="K661" s="42">
        <v>4890.78</v>
      </c>
      <c r="L661" s="42">
        <f t="shared" si="171"/>
        <v>1782.1559999999999</v>
      </c>
      <c r="M661" s="42">
        <v>1485.13</v>
      </c>
      <c r="N661" s="42">
        <v>500</v>
      </c>
      <c r="O661" s="42">
        <f t="shared" si="168"/>
        <v>500</v>
      </c>
      <c r="P661" s="203">
        <f t="shared" si="169"/>
        <v>500</v>
      </c>
    </row>
    <row r="662" spans="1:16" ht="15" hidden="1" customHeight="1" outlineLevel="1" x14ac:dyDescent="0.25">
      <c r="A662" s="39"/>
      <c r="B662" s="46"/>
      <c r="C662" s="246"/>
      <c r="D662" s="47" t="s">
        <v>103</v>
      </c>
      <c r="E662" s="39" t="s">
        <v>17</v>
      </c>
      <c r="F662" s="39" t="s">
        <v>295</v>
      </c>
      <c r="G662" s="39" t="s">
        <v>104</v>
      </c>
      <c r="H662" s="42">
        <v>50</v>
      </c>
      <c r="I662" s="42">
        <v>50</v>
      </c>
      <c r="J662" s="42">
        <v>50</v>
      </c>
      <c r="K662" s="42">
        <v>50</v>
      </c>
      <c r="L662" s="42">
        <f t="shared" si="171"/>
        <v>18.672000000000001</v>
      </c>
      <c r="M662" s="42">
        <v>15.56</v>
      </c>
      <c r="N662" s="42">
        <v>50</v>
      </c>
      <c r="O662" s="42">
        <f t="shared" si="168"/>
        <v>50</v>
      </c>
      <c r="P662" s="203">
        <f t="shared" si="169"/>
        <v>50</v>
      </c>
    </row>
    <row r="663" spans="1:16" ht="15" customHeight="1" collapsed="1" x14ac:dyDescent="0.25">
      <c r="A663" s="39" t="s">
        <v>11</v>
      </c>
      <c r="B663" s="46" t="s">
        <v>523</v>
      </c>
      <c r="C663" s="246"/>
      <c r="D663" s="58" t="s">
        <v>470</v>
      </c>
      <c r="E663" s="40"/>
      <c r="F663" s="40"/>
      <c r="G663" s="40" t="s">
        <v>471</v>
      </c>
      <c r="H663" s="41">
        <f>SUM(H658:H662)</f>
        <v>317.05</v>
      </c>
      <c r="I663" s="41">
        <f t="shared" ref="I663:P663" si="173">SUM(I658:I662)</f>
        <v>5483.32</v>
      </c>
      <c r="J663" s="41">
        <f t="shared" si="173"/>
        <v>550</v>
      </c>
      <c r="K663" s="41">
        <f t="shared" si="173"/>
        <v>5350</v>
      </c>
      <c r="L663" s="41">
        <f t="shared" si="173"/>
        <v>2124.2159999999999</v>
      </c>
      <c r="M663" s="41">
        <f t="shared" si="173"/>
        <v>1770.18</v>
      </c>
      <c r="N663" s="41">
        <f t="shared" si="173"/>
        <v>1000</v>
      </c>
      <c r="O663" s="41">
        <f t="shared" si="173"/>
        <v>1000</v>
      </c>
      <c r="P663" s="201">
        <f t="shared" si="173"/>
        <v>1000</v>
      </c>
    </row>
    <row r="664" spans="1:16" hidden="1" outlineLevel="1" collapsed="1" x14ac:dyDescent="0.25">
      <c r="A664" s="39" t="s">
        <v>11</v>
      </c>
      <c r="B664" s="46" t="s">
        <v>523</v>
      </c>
      <c r="C664" s="246"/>
      <c r="D664" s="47" t="s">
        <v>114</v>
      </c>
      <c r="E664" s="39" t="s">
        <v>17</v>
      </c>
      <c r="F664" s="39" t="s">
        <v>295</v>
      </c>
      <c r="G664" s="39" t="s">
        <v>115</v>
      </c>
      <c r="H664" s="42">
        <v>0</v>
      </c>
      <c r="I664" s="42">
        <v>85.81</v>
      </c>
      <c r="J664" s="42">
        <v>500</v>
      </c>
      <c r="K664" s="42">
        <v>500</v>
      </c>
      <c r="L664" s="42">
        <f t="shared" si="171"/>
        <v>332.52</v>
      </c>
      <c r="M664" s="42">
        <v>277.10000000000002</v>
      </c>
      <c r="N664" s="42">
        <v>500</v>
      </c>
      <c r="O664" s="42">
        <f t="shared" si="168"/>
        <v>500</v>
      </c>
      <c r="P664" s="203">
        <f t="shared" si="169"/>
        <v>500</v>
      </c>
    </row>
    <row r="665" spans="1:16" ht="15" hidden="1" customHeight="1" outlineLevel="1" x14ac:dyDescent="0.25">
      <c r="A665" s="39"/>
      <c r="B665" s="46"/>
      <c r="C665" s="246"/>
      <c r="D665" s="47" t="s">
        <v>116</v>
      </c>
      <c r="E665" s="39" t="s">
        <v>17</v>
      </c>
      <c r="F665" s="39" t="s">
        <v>295</v>
      </c>
      <c r="G665" s="39" t="s">
        <v>117</v>
      </c>
      <c r="H665" s="42">
        <v>0</v>
      </c>
      <c r="I665" s="42">
        <v>47.57</v>
      </c>
      <c r="J665" s="42">
        <v>500</v>
      </c>
      <c r="K665" s="42">
        <v>1500</v>
      </c>
      <c r="L665" s="42">
        <f t="shared" si="171"/>
        <v>130.74</v>
      </c>
      <c r="M665" s="42">
        <v>108.95</v>
      </c>
      <c r="N665" s="42">
        <v>500</v>
      </c>
      <c r="O665" s="42">
        <f t="shared" si="168"/>
        <v>500</v>
      </c>
      <c r="P665" s="203">
        <f t="shared" si="169"/>
        <v>500</v>
      </c>
    </row>
    <row r="666" spans="1:16" ht="15" customHeight="1" collapsed="1" x14ac:dyDescent="0.25">
      <c r="A666" s="39" t="s">
        <v>11</v>
      </c>
      <c r="B666" s="46" t="s">
        <v>523</v>
      </c>
      <c r="C666" s="246"/>
      <c r="D666" s="58" t="s">
        <v>473</v>
      </c>
      <c r="E666" s="40"/>
      <c r="F666" s="40"/>
      <c r="G666" s="40" t="s">
        <v>568</v>
      </c>
      <c r="H666" s="41">
        <f>SUM(H664:H665)</f>
        <v>0</v>
      </c>
      <c r="I666" s="41">
        <f t="shared" ref="I666:P666" si="174">SUM(I664:I665)</f>
        <v>133.38</v>
      </c>
      <c r="J666" s="41">
        <f t="shared" si="174"/>
        <v>1000</v>
      </c>
      <c r="K666" s="41">
        <f t="shared" si="174"/>
        <v>2000</v>
      </c>
      <c r="L666" s="41">
        <f t="shared" si="174"/>
        <v>463.26</v>
      </c>
      <c r="M666" s="41">
        <f t="shared" si="174"/>
        <v>386.05</v>
      </c>
      <c r="N666" s="41">
        <f t="shared" si="174"/>
        <v>1000</v>
      </c>
      <c r="O666" s="41">
        <f t="shared" si="174"/>
        <v>1000</v>
      </c>
      <c r="P666" s="201">
        <f t="shared" si="174"/>
        <v>1000</v>
      </c>
    </row>
    <row r="667" spans="1:16" hidden="1" outlineLevel="1" collapsed="1" x14ac:dyDescent="0.25">
      <c r="A667" s="39" t="s">
        <v>11</v>
      </c>
      <c r="B667" s="46" t="s">
        <v>523</v>
      </c>
      <c r="C667" s="246"/>
      <c r="D667" s="47" t="s">
        <v>128</v>
      </c>
      <c r="E667" s="39" t="s">
        <v>17</v>
      </c>
      <c r="F667" s="39" t="s">
        <v>295</v>
      </c>
      <c r="G667" s="39" t="s">
        <v>130</v>
      </c>
      <c r="H667" s="42">
        <v>0</v>
      </c>
      <c r="I667" s="42">
        <v>0</v>
      </c>
      <c r="J667" s="42">
        <v>0</v>
      </c>
      <c r="K667" s="42">
        <v>10</v>
      </c>
      <c r="L667" s="42">
        <f t="shared" si="171"/>
        <v>2.016</v>
      </c>
      <c r="M667" s="42">
        <v>1.68</v>
      </c>
      <c r="N667" s="42">
        <v>10</v>
      </c>
      <c r="O667" s="42">
        <f t="shared" si="168"/>
        <v>10</v>
      </c>
      <c r="P667" s="203">
        <f t="shared" si="169"/>
        <v>10</v>
      </c>
    </row>
    <row r="668" spans="1:16" ht="15" hidden="1" customHeight="1" outlineLevel="1" x14ac:dyDescent="0.25">
      <c r="A668" s="39" t="s">
        <v>11</v>
      </c>
      <c r="B668" s="46" t="s">
        <v>523</v>
      </c>
      <c r="C668" s="246"/>
      <c r="D668" s="47" t="s">
        <v>131</v>
      </c>
      <c r="E668" s="39" t="s">
        <v>14</v>
      </c>
      <c r="F668" s="39" t="s">
        <v>295</v>
      </c>
      <c r="G668" s="39" t="s">
        <v>316</v>
      </c>
      <c r="H668" s="42">
        <v>0</v>
      </c>
      <c r="I668" s="42">
        <v>1700</v>
      </c>
      <c r="J668" s="42">
        <v>0</v>
      </c>
      <c r="K668" s="42">
        <v>0</v>
      </c>
      <c r="L668" s="42">
        <f t="shared" si="171"/>
        <v>0</v>
      </c>
      <c r="M668" s="42">
        <v>0</v>
      </c>
      <c r="N668" s="42">
        <v>0</v>
      </c>
      <c r="O668" s="42">
        <f t="shared" si="168"/>
        <v>0</v>
      </c>
      <c r="P668" s="203">
        <f t="shared" si="169"/>
        <v>0</v>
      </c>
    </row>
    <row r="669" spans="1:16" ht="15" hidden="1" customHeight="1" outlineLevel="1" x14ac:dyDescent="0.25">
      <c r="A669" s="39" t="s">
        <v>11</v>
      </c>
      <c r="B669" s="46" t="s">
        <v>523</v>
      </c>
      <c r="C669" s="246"/>
      <c r="D669" s="47" t="s">
        <v>131</v>
      </c>
      <c r="E669" s="39" t="s">
        <v>17</v>
      </c>
      <c r="F669" s="39" t="s">
        <v>295</v>
      </c>
      <c r="G669" s="39" t="s">
        <v>316</v>
      </c>
      <c r="H669" s="42">
        <v>12594.4</v>
      </c>
      <c r="I669" s="42">
        <v>6722.18</v>
      </c>
      <c r="J669" s="42">
        <v>8500</v>
      </c>
      <c r="K669" s="42">
        <v>18500</v>
      </c>
      <c r="L669" s="42">
        <v>26000</v>
      </c>
      <c r="M669" s="42">
        <v>24251.59</v>
      </c>
      <c r="N669" s="19">
        <v>20000</v>
      </c>
      <c r="O669" s="42">
        <f t="shared" si="168"/>
        <v>20000</v>
      </c>
      <c r="P669" s="203">
        <f t="shared" si="169"/>
        <v>20000</v>
      </c>
    </row>
    <row r="670" spans="1:16" ht="15" hidden="1" customHeight="1" outlineLevel="1" x14ac:dyDescent="0.25">
      <c r="A670" s="39" t="s">
        <v>11</v>
      </c>
      <c r="B670" s="46" t="s">
        <v>523</v>
      </c>
      <c r="C670" s="246"/>
      <c r="D670" s="47" t="s">
        <v>131</v>
      </c>
      <c r="E670" s="39" t="s">
        <v>17</v>
      </c>
      <c r="F670" s="39" t="s">
        <v>295</v>
      </c>
      <c r="G670" s="15" t="s">
        <v>317</v>
      </c>
      <c r="H670" s="42">
        <v>976.5</v>
      </c>
      <c r="I670" s="42">
        <v>0</v>
      </c>
      <c r="J670" s="42">
        <v>950</v>
      </c>
      <c r="K670" s="42">
        <v>950</v>
      </c>
      <c r="L670" s="42">
        <v>950</v>
      </c>
      <c r="M670" s="42">
        <v>312.87</v>
      </c>
      <c r="N670" s="19">
        <v>1000</v>
      </c>
      <c r="O670" s="42">
        <f t="shared" si="168"/>
        <v>1000</v>
      </c>
      <c r="P670" s="203">
        <f t="shared" si="169"/>
        <v>1000</v>
      </c>
    </row>
    <row r="671" spans="1:16" ht="15" hidden="1" customHeight="1" outlineLevel="1" x14ac:dyDescent="0.25">
      <c r="A671" s="39" t="s">
        <v>11</v>
      </c>
      <c r="B671" s="46" t="s">
        <v>523</v>
      </c>
      <c r="C671" s="246"/>
      <c r="D671" s="47" t="s">
        <v>131</v>
      </c>
      <c r="E671" s="39" t="s">
        <v>17</v>
      </c>
      <c r="F671" s="39" t="s">
        <v>295</v>
      </c>
      <c r="G671" s="15" t="s">
        <v>318</v>
      </c>
      <c r="H671" s="42">
        <v>370</v>
      </c>
      <c r="I671" s="42">
        <v>600</v>
      </c>
      <c r="J671" s="42">
        <v>600</v>
      </c>
      <c r="K671" s="42">
        <v>600</v>
      </c>
      <c r="L671" s="42">
        <v>600</v>
      </c>
      <c r="M671" s="42">
        <v>0</v>
      </c>
      <c r="N671" s="19">
        <v>600</v>
      </c>
      <c r="O671" s="42">
        <f t="shared" si="168"/>
        <v>600</v>
      </c>
      <c r="P671" s="203">
        <f t="shared" si="169"/>
        <v>600</v>
      </c>
    </row>
    <row r="672" spans="1:16" ht="15" hidden="1" customHeight="1" outlineLevel="1" x14ac:dyDescent="0.25">
      <c r="A672" s="39" t="s">
        <v>11</v>
      </c>
      <c r="B672" s="46" t="s">
        <v>523</v>
      </c>
      <c r="C672" s="246"/>
      <c r="D672" s="47" t="s">
        <v>135</v>
      </c>
      <c r="E672" s="39" t="s">
        <v>17</v>
      </c>
      <c r="F672" s="39" t="s">
        <v>295</v>
      </c>
      <c r="G672" s="39" t="s">
        <v>136</v>
      </c>
      <c r="H672" s="42">
        <v>530.12</v>
      </c>
      <c r="I672" s="42">
        <v>1360.62</v>
      </c>
      <c r="J672" s="42">
        <v>2000</v>
      </c>
      <c r="K672" s="42">
        <v>4970</v>
      </c>
      <c r="L672" s="42">
        <f>M672/10*12</f>
        <v>479.52</v>
      </c>
      <c r="M672" s="42">
        <v>399.6</v>
      </c>
      <c r="N672" s="42">
        <v>500</v>
      </c>
      <c r="O672" s="42">
        <f t="shared" si="168"/>
        <v>500</v>
      </c>
      <c r="P672" s="203">
        <f t="shared" si="169"/>
        <v>500</v>
      </c>
    </row>
    <row r="673" spans="1:16" ht="15" hidden="1" customHeight="1" outlineLevel="1" x14ac:dyDescent="0.25">
      <c r="A673" s="39" t="s">
        <v>11</v>
      </c>
      <c r="B673" s="46" t="s">
        <v>523</v>
      </c>
      <c r="C673" s="246"/>
      <c r="D673" s="47" t="s">
        <v>137</v>
      </c>
      <c r="E673" s="39" t="s">
        <v>17</v>
      </c>
      <c r="F673" s="39" t="s">
        <v>295</v>
      </c>
      <c r="G673" s="39" t="s">
        <v>322</v>
      </c>
      <c r="H673" s="42">
        <v>0</v>
      </c>
      <c r="I673" s="42">
        <v>0</v>
      </c>
      <c r="J673" s="42">
        <v>0</v>
      </c>
      <c r="K673" s="42">
        <v>20</v>
      </c>
      <c r="L673" s="42">
        <v>15</v>
      </c>
      <c r="M673" s="42">
        <v>15</v>
      </c>
      <c r="N673" s="42">
        <v>0</v>
      </c>
      <c r="O673" s="42">
        <f t="shared" si="168"/>
        <v>0</v>
      </c>
      <c r="P673" s="203">
        <f t="shared" si="169"/>
        <v>0</v>
      </c>
    </row>
    <row r="674" spans="1:16" ht="15" hidden="1" customHeight="1" outlineLevel="1" x14ac:dyDescent="0.25">
      <c r="A674" s="39" t="s">
        <v>11</v>
      </c>
      <c r="B674" s="46" t="s">
        <v>523</v>
      </c>
      <c r="C674" s="246"/>
      <c r="D674" s="47" t="s">
        <v>142</v>
      </c>
      <c r="E674" s="39" t="s">
        <v>17</v>
      </c>
      <c r="F674" s="39" t="s">
        <v>295</v>
      </c>
      <c r="G674" s="39" t="s">
        <v>323</v>
      </c>
      <c r="H674" s="42">
        <v>584.4</v>
      </c>
      <c r="I674" s="42">
        <v>724.8</v>
      </c>
      <c r="J674" s="42">
        <v>700</v>
      </c>
      <c r="K674" s="42">
        <v>700</v>
      </c>
      <c r="L674" s="42">
        <f>M674/10*12</f>
        <v>581.76</v>
      </c>
      <c r="M674" s="42">
        <v>484.8</v>
      </c>
      <c r="N674" s="42">
        <v>700</v>
      </c>
      <c r="O674" s="42">
        <f t="shared" si="168"/>
        <v>700</v>
      </c>
      <c r="P674" s="203">
        <f t="shared" si="169"/>
        <v>700</v>
      </c>
    </row>
    <row r="675" spans="1:16" ht="15" hidden="1" customHeight="1" outlineLevel="1" x14ac:dyDescent="0.25">
      <c r="A675" s="39" t="s">
        <v>11</v>
      </c>
      <c r="B675" s="46" t="s">
        <v>523</v>
      </c>
      <c r="C675" s="246"/>
      <c r="D675" s="47" t="s">
        <v>151</v>
      </c>
      <c r="E675" s="39" t="s">
        <v>17</v>
      </c>
      <c r="F675" s="39" t="s">
        <v>295</v>
      </c>
      <c r="G675" s="39" t="s">
        <v>152</v>
      </c>
      <c r="H675" s="42">
        <v>384.07</v>
      </c>
      <c r="I675" s="42">
        <v>399.9</v>
      </c>
      <c r="J675" s="42">
        <v>400</v>
      </c>
      <c r="K675" s="42">
        <v>400</v>
      </c>
      <c r="L675" s="42">
        <f>M675/10*12</f>
        <v>408.91200000000003</v>
      </c>
      <c r="M675" s="42">
        <v>340.76</v>
      </c>
      <c r="N675" s="42">
        <v>561</v>
      </c>
      <c r="O675" s="42">
        <f t="shared" si="168"/>
        <v>561</v>
      </c>
      <c r="P675" s="203">
        <f t="shared" si="169"/>
        <v>561</v>
      </c>
    </row>
    <row r="676" spans="1:16" ht="15" hidden="1" customHeight="1" outlineLevel="1" x14ac:dyDescent="0.25">
      <c r="A676" s="39" t="s">
        <v>11</v>
      </c>
      <c r="B676" s="46" t="s">
        <v>523</v>
      </c>
      <c r="C676" s="246"/>
      <c r="D676" s="47" t="s">
        <v>155</v>
      </c>
      <c r="E676" s="39" t="s">
        <v>17</v>
      </c>
      <c r="F676" s="39" t="s">
        <v>295</v>
      </c>
      <c r="G676" s="39" t="s">
        <v>324</v>
      </c>
      <c r="H676" s="42">
        <v>90.51</v>
      </c>
      <c r="I676" s="42">
        <v>108.67</v>
      </c>
      <c r="J676" s="42">
        <v>118</v>
      </c>
      <c r="K676" s="42">
        <v>118</v>
      </c>
      <c r="L676" s="42">
        <v>88.71</v>
      </c>
      <c r="M676" s="42">
        <v>57.26</v>
      </c>
      <c r="N676" s="42">
        <v>120</v>
      </c>
      <c r="O676" s="42">
        <f t="shared" si="168"/>
        <v>120</v>
      </c>
      <c r="P676" s="203">
        <f t="shared" si="169"/>
        <v>120</v>
      </c>
    </row>
    <row r="677" spans="1:16" ht="15" hidden="1" customHeight="1" outlineLevel="1" x14ac:dyDescent="0.25">
      <c r="A677" s="39"/>
      <c r="B677" s="46"/>
      <c r="C677" s="246"/>
      <c r="D677" s="47" t="s">
        <v>164</v>
      </c>
      <c r="E677" s="39" t="s">
        <v>17</v>
      </c>
      <c r="F677" s="39" t="s">
        <v>295</v>
      </c>
      <c r="G677" s="39" t="s">
        <v>165</v>
      </c>
      <c r="H677" s="42">
        <v>30.24</v>
      </c>
      <c r="I677" s="42">
        <v>0</v>
      </c>
      <c r="J677" s="42">
        <v>0</v>
      </c>
      <c r="K677" s="42">
        <v>0</v>
      </c>
      <c r="L677" s="42">
        <v>0</v>
      </c>
      <c r="M677" s="42">
        <v>0</v>
      </c>
      <c r="N677" s="42">
        <v>0</v>
      </c>
      <c r="O677" s="42">
        <f t="shared" si="168"/>
        <v>0</v>
      </c>
      <c r="P677" s="203">
        <f t="shared" si="169"/>
        <v>0</v>
      </c>
    </row>
    <row r="678" spans="1:16" ht="15" customHeight="1" collapsed="1" thickBot="1" x14ac:dyDescent="0.3">
      <c r="A678" s="39"/>
      <c r="B678" s="46"/>
      <c r="C678" s="246"/>
      <c r="D678" s="108" t="s">
        <v>478</v>
      </c>
      <c r="E678" s="67"/>
      <c r="F678" s="67"/>
      <c r="G678" s="67" t="s">
        <v>479</v>
      </c>
      <c r="H678" s="88">
        <f>SUM(H667:H677)</f>
        <v>15560.24</v>
      </c>
      <c r="I678" s="88">
        <f t="shared" ref="I678:P678" si="175">SUM(I667:I677)</f>
        <v>11616.169999999998</v>
      </c>
      <c r="J678" s="88">
        <f t="shared" si="175"/>
        <v>13268</v>
      </c>
      <c r="K678" s="88">
        <f t="shared" si="175"/>
        <v>26268</v>
      </c>
      <c r="L678" s="88">
        <f t="shared" si="175"/>
        <v>29125.917999999998</v>
      </c>
      <c r="M678" s="88">
        <f t="shared" si="175"/>
        <v>25863.559999999994</v>
      </c>
      <c r="N678" s="88">
        <f t="shared" si="175"/>
        <v>23491</v>
      </c>
      <c r="O678" s="88">
        <f t="shared" si="175"/>
        <v>23491</v>
      </c>
      <c r="P678" s="137">
        <f t="shared" si="175"/>
        <v>23491</v>
      </c>
    </row>
    <row r="679" spans="1:16" ht="15.75" collapsed="1" thickBot="1" x14ac:dyDescent="0.3">
      <c r="A679" s="39" t="s">
        <v>11</v>
      </c>
      <c r="B679" s="46" t="s">
        <v>524</v>
      </c>
      <c r="C679" s="246"/>
      <c r="D679" s="60" t="s">
        <v>593</v>
      </c>
      <c r="E679" s="76"/>
      <c r="F679" s="76"/>
      <c r="G679" s="61" t="s">
        <v>653</v>
      </c>
      <c r="H679" s="62">
        <f t="shared" ref="H679:P679" si="176">H678+H666+H663+H657+H652+H642</f>
        <v>36705.089999999997</v>
      </c>
      <c r="I679" s="62">
        <f t="shared" si="176"/>
        <v>46410.95</v>
      </c>
      <c r="J679" s="62">
        <f t="shared" si="176"/>
        <v>46259</v>
      </c>
      <c r="K679" s="62">
        <f t="shared" si="176"/>
        <v>63759</v>
      </c>
      <c r="L679" s="62">
        <f t="shared" si="176"/>
        <v>55148.241999999998</v>
      </c>
      <c r="M679" s="62">
        <f t="shared" si="176"/>
        <v>49463.979999999996</v>
      </c>
      <c r="N679" s="62">
        <f t="shared" si="176"/>
        <v>54007</v>
      </c>
      <c r="O679" s="62">
        <f t="shared" si="176"/>
        <v>54007</v>
      </c>
      <c r="P679" s="63">
        <f t="shared" si="176"/>
        <v>54007</v>
      </c>
    </row>
    <row r="680" spans="1:16" hidden="1" outlineLevel="1" x14ac:dyDescent="0.25">
      <c r="A680" s="39" t="s">
        <v>11</v>
      </c>
      <c r="B680" s="46" t="s">
        <v>525</v>
      </c>
      <c r="C680" s="246"/>
      <c r="D680" s="58" t="s">
        <v>13</v>
      </c>
      <c r="E680" s="40" t="s">
        <v>17</v>
      </c>
      <c r="F680" s="40" t="s">
        <v>297</v>
      </c>
      <c r="G680" s="40" t="s">
        <v>19</v>
      </c>
      <c r="H680" s="41">
        <v>6095.85</v>
      </c>
      <c r="I680" s="41">
        <v>6504.6</v>
      </c>
      <c r="J680" s="41">
        <v>7844</v>
      </c>
      <c r="K680" s="41">
        <v>7584</v>
      </c>
      <c r="L680" s="41">
        <v>8197.9599999999991</v>
      </c>
      <c r="M680" s="41">
        <v>5909.21</v>
      </c>
      <c r="N680" s="42">
        <v>11250</v>
      </c>
      <c r="O680" s="42">
        <f t="shared" ref="O680:O704" si="177">N680</f>
        <v>11250</v>
      </c>
      <c r="P680" s="203">
        <f t="shared" ref="P680:P704" si="178">N680</f>
        <v>11250</v>
      </c>
    </row>
    <row r="681" spans="1:16" ht="15.75" hidden="1" customHeight="1" outlineLevel="1" x14ac:dyDescent="0.25">
      <c r="A681" s="39" t="s">
        <v>11</v>
      </c>
      <c r="B681" s="46" t="s">
        <v>524</v>
      </c>
      <c r="C681" s="246"/>
      <c r="D681" s="47" t="s">
        <v>22</v>
      </c>
      <c r="E681" s="39" t="s">
        <v>17</v>
      </c>
      <c r="F681" s="39" t="s">
        <v>297</v>
      </c>
      <c r="G681" s="39" t="s">
        <v>23</v>
      </c>
      <c r="H681" s="42">
        <v>0</v>
      </c>
      <c r="I681" s="42">
        <v>0</v>
      </c>
      <c r="J681" s="42">
        <v>0</v>
      </c>
      <c r="K681" s="42">
        <v>0</v>
      </c>
      <c r="L681" s="42">
        <v>51</v>
      </c>
      <c r="M681" s="42">
        <v>95.2</v>
      </c>
      <c r="N681" s="42">
        <v>55</v>
      </c>
      <c r="O681" s="42">
        <f t="shared" si="177"/>
        <v>55</v>
      </c>
      <c r="P681" s="203">
        <f t="shared" si="178"/>
        <v>55</v>
      </c>
    </row>
    <row r="682" spans="1:16" ht="15.75" hidden="1" customHeight="1" outlineLevel="1" x14ac:dyDescent="0.25">
      <c r="A682" s="39" t="s">
        <v>11</v>
      </c>
      <c r="B682" s="46" t="s">
        <v>524</v>
      </c>
      <c r="C682" s="246"/>
      <c r="D682" s="47" t="s">
        <v>26</v>
      </c>
      <c r="E682" s="39" t="s">
        <v>17</v>
      </c>
      <c r="F682" s="39" t="s">
        <v>297</v>
      </c>
      <c r="G682" s="39" t="s">
        <v>27</v>
      </c>
      <c r="H682" s="42">
        <v>349.96</v>
      </c>
      <c r="I682" s="42">
        <v>637.46</v>
      </c>
      <c r="J682" s="42">
        <v>784</v>
      </c>
      <c r="K682" s="42">
        <v>784</v>
      </c>
      <c r="L682" s="42">
        <v>681.07500000000005</v>
      </c>
      <c r="M682" s="42">
        <v>452.2</v>
      </c>
      <c r="N682" s="42">
        <v>1125</v>
      </c>
      <c r="O682" s="42">
        <f t="shared" si="177"/>
        <v>1125</v>
      </c>
      <c r="P682" s="203">
        <f t="shared" si="178"/>
        <v>1125</v>
      </c>
    </row>
    <row r="683" spans="1:16" ht="15.75" hidden="1" customHeight="1" outlineLevel="1" x14ac:dyDescent="0.25">
      <c r="A683" s="39" t="s">
        <v>11</v>
      </c>
      <c r="B683" s="46" t="s">
        <v>524</v>
      </c>
      <c r="C683" s="246"/>
      <c r="D683" s="47" t="s">
        <v>29</v>
      </c>
      <c r="E683" s="39" t="s">
        <v>17</v>
      </c>
      <c r="F683" s="39" t="s">
        <v>297</v>
      </c>
      <c r="G683" s="39" t="s">
        <v>30</v>
      </c>
      <c r="H683" s="42">
        <v>80.400000000000006</v>
      </c>
      <c r="I683" s="42">
        <v>70.930000000000007</v>
      </c>
      <c r="J683" s="42">
        <v>109</v>
      </c>
      <c r="K683" s="42">
        <v>109</v>
      </c>
      <c r="L683" s="42">
        <v>108.63250000000001</v>
      </c>
      <c r="M683" s="42">
        <v>76.59</v>
      </c>
      <c r="N683" s="42">
        <v>158</v>
      </c>
      <c r="O683" s="42">
        <f t="shared" si="177"/>
        <v>158</v>
      </c>
      <c r="P683" s="203">
        <f t="shared" si="178"/>
        <v>158</v>
      </c>
    </row>
    <row r="684" spans="1:16" ht="15.75" hidden="1" customHeight="1" outlineLevel="1" x14ac:dyDescent="0.25">
      <c r="A684" s="39" t="s">
        <v>11</v>
      </c>
      <c r="B684" s="46" t="s">
        <v>524</v>
      </c>
      <c r="C684" s="246"/>
      <c r="D684" s="47" t="s">
        <v>32</v>
      </c>
      <c r="E684" s="39" t="s">
        <v>17</v>
      </c>
      <c r="F684" s="39" t="s">
        <v>297</v>
      </c>
      <c r="G684" s="39" t="s">
        <v>34</v>
      </c>
      <c r="H684" s="42">
        <v>855.23</v>
      </c>
      <c r="I684" s="42">
        <v>912.54</v>
      </c>
      <c r="J684" s="42">
        <v>1098</v>
      </c>
      <c r="K684" s="42">
        <v>1098</v>
      </c>
      <c r="L684" s="42">
        <v>1147.7049999999999</v>
      </c>
      <c r="M684" s="42">
        <v>827.28</v>
      </c>
      <c r="N684" s="42">
        <v>1576</v>
      </c>
      <c r="O684" s="42">
        <f t="shared" si="177"/>
        <v>1576</v>
      </c>
      <c r="P684" s="203">
        <f t="shared" si="178"/>
        <v>1576</v>
      </c>
    </row>
    <row r="685" spans="1:16" ht="15.75" hidden="1" customHeight="1" outlineLevel="1" x14ac:dyDescent="0.25">
      <c r="A685" s="39" t="s">
        <v>11</v>
      </c>
      <c r="B685" s="46" t="s">
        <v>524</v>
      </c>
      <c r="C685" s="246"/>
      <c r="D685" s="47" t="s">
        <v>36</v>
      </c>
      <c r="E685" s="39" t="s">
        <v>17</v>
      </c>
      <c r="F685" s="39" t="s">
        <v>297</v>
      </c>
      <c r="G685" s="39" t="s">
        <v>38</v>
      </c>
      <c r="H685" s="42">
        <v>48.82</v>
      </c>
      <c r="I685" s="42">
        <v>52.12</v>
      </c>
      <c r="J685" s="42">
        <v>63</v>
      </c>
      <c r="K685" s="42">
        <v>63</v>
      </c>
      <c r="L685" s="42">
        <v>65.56</v>
      </c>
      <c r="M685" s="42">
        <v>47.25</v>
      </c>
      <c r="N685" s="42">
        <v>91</v>
      </c>
      <c r="O685" s="42">
        <f t="shared" si="177"/>
        <v>91</v>
      </c>
      <c r="P685" s="203">
        <f t="shared" si="178"/>
        <v>91</v>
      </c>
    </row>
    <row r="686" spans="1:16" ht="15.75" hidden="1" customHeight="1" outlineLevel="1" x14ac:dyDescent="0.25">
      <c r="A686" s="39" t="s">
        <v>11</v>
      </c>
      <c r="B686" s="46" t="s">
        <v>524</v>
      </c>
      <c r="C686" s="246"/>
      <c r="D686" s="47" t="s">
        <v>40</v>
      </c>
      <c r="E686" s="39" t="s">
        <v>17</v>
      </c>
      <c r="F686" s="39" t="s">
        <v>297</v>
      </c>
      <c r="G686" s="39" t="s">
        <v>42</v>
      </c>
      <c r="H686" s="42">
        <v>183.2</v>
      </c>
      <c r="I686" s="42">
        <v>191.07</v>
      </c>
      <c r="J686" s="42">
        <v>235</v>
      </c>
      <c r="K686" s="42">
        <v>235</v>
      </c>
      <c r="L686" s="42">
        <v>245.91249999999999</v>
      </c>
      <c r="M686" s="42">
        <v>177.25</v>
      </c>
      <c r="N686" s="42">
        <v>338</v>
      </c>
      <c r="O686" s="42">
        <f t="shared" si="177"/>
        <v>338</v>
      </c>
      <c r="P686" s="203">
        <f t="shared" si="178"/>
        <v>338</v>
      </c>
    </row>
    <row r="687" spans="1:16" ht="15.75" hidden="1" customHeight="1" outlineLevel="1" x14ac:dyDescent="0.25">
      <c r="A687" s="39" t="s">
        <v>11</v>
      </c>
      <c r="B687" s="46" t="s">
        <v>524</v>
      </c>
      <c r="C687" s="246"/>
      <c r="D687" s="47" t="s">
        <v>44</v>
      </c>
      <c r="E687" s="39" t="s">
        <v>17</v>
      </c>
      <c r="F687" s="39" t="s">
        <v>297</v>
      </c>
      <c r="G687" s="39" t="s">
        <v>46</v>
      </c>
      <c r="H687" s="42">
        <v>57.43</v>
      </c>
      <c r="I687" s="42">
        <v>64.64</v>
      </c>
      <c r="J687" s="42">
        <v>79</v>
      </c>
      <c r="K687" s="42">
        <v>79</v>
      </c>
      <c r="L687" s="42">
        <v>77.617499999999993</v>
      </c>
      <c r="M687" s="42">
        <v>54.73</v>
      </c>
      <c r="N687" s="42">
        <v>113</v>
      </c>
      <c r="O687" s="42">
        <f t="shared" si="177"/>
        <v>113</v>
      </c>
      <c r="P687" s="203">
        <f t="shared" si="178"/>
        <v>113</v>
      </c>
    </row>
    <row r="688" spans="1:16" ht="15.75" hidden="1" customHeight="1" outlineLevel="1" x14ac:dyDescent="0.25">
      <c r="A688" s="39" t="s">
        <v>11</v>
      </c>
      <c r="B688" s="46" t="s">
        <v>524</v>
      </c>
      <c r="C688" s="246"/>
      <c r="D688" s="47" t="s">
        <v>48</v>
      </c>
      <c r="E688" s="39" t="s">
        <v>17</v>
      </c>
      <c r="F688" s="39" t="s">
        <v>297</v>
      </c>
      <c r="G688" s="39" t="s">
        <v>50</v>
      </c>
      <c r="H688" s="42">
        <v>290.04000000000002</v>
      </c>
      <c r="I688" s="42">
        <v>309.45</v>
      </c>
      <c r="J688" s="42">
        <v>372</v>
      </c>
      <c r="K688" s="42">
        <v>372</v>
      </c>
      <c r="L688" s="42">
        <v>389.29562499999997</v>
      </c>
      <c r="M688" s="42">
        <v>280.58</v>
      </c>
      <c r="N688" s="42">
        <v>535</v>
      </c>
      <c r="O688" s="42">
        <f t="shared" si="177"/>
        <v>535</v>
      </c>
      <c r="P688" s="203">
        <f t="shared" si="178"/>
        <v>535</v>
      </c>
    </row>
    <row r="689" spans="1:16" ht="15.75" hidden="1" customHeight="1" outlineLevel="1" x14ac:dyDescent="0.25">
      <c r="A689" s="39" t="s">
        <v>11</v>
      </c>
      <c r="B689" s="46" t="s">
        <v>524</v>
      </c>
      <c r="C689" s="246"/>
      <c r="D689" s="47" t="s">
        <v>56</v>
      </c>
      <c r="E689" s="39" t="s">
        <v>17</v>
      </c>
      <c r="F689" s="39" t="s">
        <v>297</v>
      </c>
      <c r="G689" s="39" t="s">
        <v>301</v>
      </c>
      <c r="H689" s="42">
        <v>1006.88</v>
      </c>
      <c r="I689" s="42">
        <v>2140.6</v>
      </c>
      <c r="J689" s="42">
        <v>1668</v>
      </c>
      <c r="K689" s="42">
        <v>1668</v>
      </c>
      <c r="L689" s="42">
        <f t="shared" ref="L689:L702" si="179">M689/10*12</f>
        <v>1323.54</v>
      </c>
      <c r="M689" s="42">
        <v>1102.95</v>
      </c>
      <c r="N689" s="42">
        <v>1500</v>
      </c>
      <c r="O689" s="42">
        <f t="shared" si="177"/>
        <v>1500</v>
      </c>
      <c r="P689" s="203">
        <f t="shared" si="178"/>
        <v>1500</v>
      </c>
    </row>
    <row r="690" spans="1:16" ht="15.75" hidden="1" customHeight="1" outlineLevel="1" x14ac:dyDescent="0.25">
      <c r="A690" s="39" t="s">
        <v>11</v>
      </c>
      <c r="B690" s="46" t="s">
        <v>524</v>
      </c>
      <c r="C690" s="246"/>
      <c r="D690" s="47" t="s">
        <v>56</v>
      </c>
      <c r="E690" s="39" t="s">
        <v>17</v>
      </c>
      <c r="F690" s="39" t="s">
        <v>297</v>
      </c>
      <c r="G690" s="39" t="s">
        <v>302</v>
      </c>
      <c r="H690" s="42">
        <v>167.31</v>
      </c>
      <c r="I690" s="42">
        <v>191.84</v>
      </c>
      <c r="J690" s="42">
        <v>250</v>
      </c>
      <c r="K690" s="42">
        <v>250</v>
      </c>
      <c r="L690" s="42">
        <f t="shared" si="179"/>
        <v>93.6</v>
      </c>
      <c r="M690" s="42">
        <v>78</v>
      </c>
      <c r="N690" s="42">
        <v>200</v>
      </c>
      <c r="O690" s="42">
        <f t="shared" si="177"/>
        <v>200</v>
      </c>
      <c r="P690" s="203">
        <f t="shared" si="178"/>
        <v>200</v>
      </c>
    </row>
    <row r="691" spans="1:16" ht="15.75" hidden="1" customHeight="1" outlineLevel="1" x14ac:dyDescent="0.25">
      <c r="A691" s="39" t="s">
        <v>11</v>
      </c>
      <c r="B691" s="46" t="s">
        <v>524</v>
      </c>
      <c r="C691" s="246"/>
      <c r="D691" s="47" t="s">
        <v>65</v>
      </c>
      <c r="E691" s="39" t="s">
        <v>17</v>
      </c>
      <c r="F691" s="39" t="s">
        <v>297</v>
      </c>
      <c r="G691" s="39" t="s">
        <v>307</v>
      </c>
      <c r="H691" s="42">
        <v>11.46</v>
      </c>
      <c r="I691" s="42">
        <v>7.2</v>
      </c>
      <c r="J691" s="42">
        <v>10</v>
      </c>
      <c r="K691" s="42">
        <v>20</v>
      </c>
      <c r="L691" s="42">
        <f t="shared" si="179"/>
        <v>13.823999999999998</v>
      </c>
      <c r="M691" s="42">
        <v>11.52</v>
      </c>
      <c r="N691" s="42">
        <v>20</v>
      </c>
      <c r="O691" s="42">
        <f t="shared" si="177"/>
        <v>20</v>
      </c>
      <c r="P691" s="203">
        <f t="shared" si="178"/>
        <v>20</v>
      </c>
    </row>
    <row r="692" spans="1:16" ht="15.75" hidden="1" customHeight="1" outlineLevel="1" x14ac:dyDescent="0.25">
      <c r="A692" s="39" t="s">
        <v>11</v>
      </c>
      <c r="B692" s="46" t="s">
        <v>524</v>
      </c>
      <c r="C692" s="246"/>
      <c r="D692" s="47" t="s">
        <v>74</v>
      </c>
      <c r="E692" s="39" t="s">
        <v>17</v>
      </c>
      <c r="F692" s="39" t="s">
        <v>297</v>
      </c>
      <c r="G692" s="39" t="s">
        <v>311</v>
      </c>
      <c r="H692" s="42">
        <v>666</v>
      </c>
      <c r="I692" s="42">
        <v>663.22</v>
      </c>
      <c r="J692" s="42">
        <v>650</v>
      </c>
      <c r="K692" s="42">
        <v>650</v>
      </c>
      <c r="L692" s="42">
        <f t="shared" si="179"/>
        <v>474.29999999999995</v>
      </c>
      <c r="M692" s="42">
        <v>395.25</v>
      </c>
      <c r="N692" s="42">
        <v>500</v>
      </c>
      <c r="O692" s="42">
        <f t="shared" si="177"/>
        <v>500</v>
      </c>
      <c r="P692" s="203">
        <f t="shared" si="178"/>
        <v>500</v>
      </c>
    </row>
    <row r="693" spans="1:16" ht="15.75" hidden="1" customHeight="1" outlineLevel="1" x14ac:dyDescent="0.25">
      <c r="A693" s="39" t="s">
        <v>11</v>
      </c>
      <c r="B693" s="46" t="s">
        <v>524</v>
      </c>
      <c r="C693" s="246"/>
      <c r="D693" s="47" t="s">
        <v>88</v>
      </c>
      <c r="E693" s="39" t="s">
        <v>17</v>
      </c>
      <c r="F693" s="39" t="s">
        <v>297</v>
      </c>
      <c r="G693" s="39" t="s">
        <v>192</v>
      </c>
      <c r="H693" s="42">
        <v>45.76</v>
      </c>
      <c r="I693" s="42">
        <v>11.86</v>
      </c>
      <c r="J693" s="42">
        <v>15</v>
      </c>
      <c r="K693" s="42">
        <v>65</v>
      </c>
      <c r="L693" s="42">
        <f t="shared" si="179"/>
        <v>59.532000000000004</v>
      </c>
      <c r="M693" s="42">
        <v>49.61</v>
      </c>
      <c r="N693" s="42">
        <v>65</v>
      </c>
      <c r="O693" s="42">
        <f t="shared" si="177"/>
        <v>65</v>
      </c>
      <c r="P693" s="203">
        <f t="shared" si="178"/>
        <v>65</v>
      </c>
    </row>
    <row r="694" spans="1:16" ht="15.75" hidden="1" customHeight="1" outlineLevel="1" x14ac:dyDescent="0.25">
      <c r="A694" s="39" t="s">
        <v>11</v>
      </c>
      <c r="B694" s="46" t="s">
        <v>524</v>
      </c>
      <c r="C694" s="246"/>
      <c r="D694" s="47" t="s">
        <v>88</v>
      </c>
      <c r="E694" s="39" t="s">
        <v>17</v>
      </c>
      <c r="F694" s="39" t="s">
        <v>297</v>
      </c>
      <c r="G694" s="39" t="s">
        <v>93</v>
      </c>
      <c r="H694" s="42">
        <v>13.31</v>
      </c>
      <c r="I694" s="42">
        <v>2.69</v>
      </c>
      <c r="J694" s="42">
        <v>10</v>
      </c>
      <c r="K694" s="42">
        <v>10</v>
      </c>
      <c r="L694" s="42">
        <f t="shared" si="179"/>
        <v>0</v>
      </c>
      <c r="M694" s="42">
        <v>0</v>
      </c>
      <c r="N694" s="42">
        <v>10</v>
      </c>
      <c r="O694" s="42">
        <f t="shared" si="177"/>
        <v>10</v>
      </c>
      <c r="P694" s="203">
        <f t="shared" si="178"/>
        <v>10</v>
      </c>
    </row>
    <row r="695" spans="1:16" ht="15.75" hidden="1" customHeight="1" outlineLevel="1" x14ac:dyDescent="0.25">
      <c r="A695" s="39" t="s">
        <v>11</v>
      </c>
      <c r="B695" s="46" t="s">
        <v>524</v>
      </c>
      <c r="C695" s="246"/>
      <c r="D695" s="47" t="s">
        <v>88</v>
      </c>
      <c r="E695" s="39" t="s">
        <v>17</v>
      </c>
      <c r="F695" s="39" t="s">
        <v>297</v>
      </c>
      <c r="G695" s="39" t="s">
        <v>92</v>
      </c>
      <c r="H695" s="42">
        <v>0</v>
      </c>
      <c r="I695" s="42">
        <v>37</v>
      </c>
      <c r="J695" s="42">
        <v>35</v>
      </c>
      <c r="K695" s="42">
        <v>35</v>
      </c>
      <c r="L695" s="42">
        <f t="shared" si="179"/>
        <v>0</v>
      </c>
      <c r="M695" s="42">
        <v>0</v>
      </c>
      <c r="N695" s="42">
        <v>35</v>
      </c>
      <c r="O695" s="42">
        <f t="shared" si="177"/>
        <v>35</v>
      </c>
      <c r="P695" s="203">
        <f t="shared" si="178"/>
        <v>35</v>
      </c>
    </row>
    <row r="696" spans="1:16" ht="15.75" hidden="1" customHeight="1" outlineLevel="1" x14ac:dyDescent="0.25">
      <c r="A696" s="39" t="s">
        <v>11</v>
      </c>
      <c r="B696" s="46" t="s">
        <v>524</v>
      </c>
      <c r="C696" s="246"/>
      <c r="D696" s="47" t="s">
        <v>101</v>
      </c>
      <c r="E696" s="39" t="s">
        <v>17</v>
      </c>
      <c r="F696" s="39" t="s">
        <v>297</v>
      </c>
      <c r="G696" s="39" t="s">
        <v>315</v>
      </c>
      <c r="H696" s="42">
        <v>511</v>
      </c>
      <c r="I696" s="42">
        <f>1500+424.63</f>
        <v>1924.63</v>
      </c>
      <c r="J696" s="42">
        <v>500</v>
      </c>
      <c r="K696" s="42">
        <v>500</v>
      </c>
      <c r="L696" s="42">
        <f t="shared" si="179"/>
        <v>189.71999999999997</v>
      </c>
      <c r="M696" s="42">
        <v>158.1</v>
      </c>
      <c r="N696" s="42">
        <v>500</v>
      </c>
      <c r="O696" s="42">
        <f t="shared" si="177"/>
        <v>500</v>
      </c>
      <c r="P696" s="203">
        <f t="shared" si="178"/>
        <v>500</v>
      </c>
    </row>
    <row r="697" spans="1:16" ht="15.75" hidden="1" customHeight="1" outlineLevel="1" x14ac:dyDescent="0.25">
      <c r="A697" s="39" t="s">
        <v>11</v>
      </c>
      <c r="B697" s="46" t="s">
        <v>524</v>
      </c>
      <c r="C697" s="246"/>
      <c r="D697" s="47" t="s">
        <v>103</v>
      </c>
      <c r="E697" s="39" t="s">
        <v>17</v>
      </c>
      <c r="F697" s="39" t="s">
        <v>297</v>
      </c>
      <c r="G697" s="39" t="s">
        <v>104</v>
      </c>
      <c r="H697" s="42">
        <v>50</v>
      </c>
      <c r="I697" s="42">
        <v>50</v>
      </c>
      <c r="J697" s="42">
        <v>50</v>
      </c>
      <c r="K697" s="42">
        <v>50</v>
      </c>
      <c r="L697" s="42">
        <f t="shared" si="179"/>
        <v>18.672000000000001</v>
      </c>
      <c r="M697" s="42">
        <v>15.56</v>
      </c>
      <c r="N697" s="42">
        <v>50</v>
      </c>
      <c r="O697" s="42">
        <f t="shared" si="177"/>
        <v>50</v>
      </c>
      <c r="P697" s="203">
        <f t="shared" si="178"/>
        <v>50</v>
      </c>
    </row>
    <row r="698" spans="1:16" ht="15.75" hidden="1" customHeight="1" outlineLevel="1" x14ac:dyDescent="0.25">
      <c r="A698" s="39" t="s">
        <v>11</v>
      </c>
      <c r="B698" s="46" t="s">
        <v>524</v>
      </c>
      <c r="C698" s="246"/>
      <c r="D698" s="47" t="s">
        <v>119</v>
      </c>
      <c r="E698" s="39" t="s">
        <v>17</v>
      </c>
      <c r="F698" s="39" t="s">
        <v>297</v>
      </c>
      <c r="G698" s="39" t="s">
        <v>120</v>
      </c>
      <c r="H698" s="42">
        <v>440.82</v>
      </c>
      <c r="I698" s="42">
        <v>184.32</v>
      </c>
      <c r="J698" s="42">
        <v>0</v>
      </c>
      <c r="K698" s="42">
        <v>200</v>
      </c>
      <c r="L698" s="42">
        <f t="shared" si="179"/>
        <v>221.18399999999997</v>
      </c>
      <c r="M698" s="42">
        <v>184.32</v>
      </c>
      <c r="N698" s="42">
        <v>250</v>
      </c>
      <c r="O698" s="42">
        <f t="shared" si="177"/>
        <v>250</v>
      </c>
      <c r="P698" s="203">
        <f t="shared" si="178"/>
        <v>250</v>
      </c>
    </row>
    <row r="699" spans="1:16" ht="15.75" hidden="1" customHeight="1" outlineLevel="1" x14ac:dyDescent="0.25">
      <c r="A699" s="39" t="s">
        <v>11</v>
      </c>
      <c r="B699" s="46" t="s">
        <v>524</v>
      </c>
      <c r="C699" s="246"/>
      <c r="D699" s="47" t="s">
        <v>128</v>
      </c>
      <c r="E699" s="39" t="s">
        <v>17</v>
      </c>
      <c r="F699" s="39" t="s">
        <v>297</v>
      </c>
      <c r="G699" s="39" t="s">
        <v>130</v>
      </c>
      <c r="H699" s="42">
        <v>0</v>
      </c>
      <c r="I699" s="42">
        <v>0</v>
      </c>
      <c r="J699" s="42">
        <v>0</v>
      </c>
      <c r="K699" s="42">
        <v>2</v>
      </c>
      <c r="L699" s="42">
        <f t="shared" si="179"/>
        <v>2.016</v>
      </c>
      <c r="M699" s="42">
        <v>1.68</v>
      </c>
      <c r="N699" s="42">
        <v>10</v>
      </c>
      <c r="O699" s="42">
        <f t="shared" si="177"/>
        <v>10</v>
      </c>
      <c r="P699" s="203">
        <f t="shared" si="178"/>
        <v>10</v>
      </c>
    </row>
    <row r="700" spans="1:16" ht="15.75" hidden="1" customHeight="1" outlineLevel="1" x14ac:dyDescent="0.25">
      <c r="A700" s="39" t="s">
        <v>11</v>
      </c>
      <c r="B700" s="46" t="s">
        <v>524</v>
      </c>
      <c r="C700" s="246"/>
      <c r="D700" s="47" t="s">
        <v>135</v>
      </c>
      <c r="E700" s="39" t="s">
        <v>17</v>
      </c>
      <c r="F700" s="39" t="s">
        <v>297</v>
      </c>
      <c r="G700" s="39" t="s">
        <v>319</v>
      </c>
      <c r="H700" s="42">
        <v>157.72</v>
      </c>
      <c r="I700" s="42">
        <v>445.08</v>
      </c>
      <c r="J700" s="42">
        <v>200</v>
      </c>
      <c r="K700" s="42">
        <v>188</v>
      </c>
      <c r="L700" s="42">
        <f t="shared" si="179"/>
        <v>122.90400000000001</v>
      </c>
      <c r="M700" s="42">
        <v>102.42</v>
      </c>
      <c r="N700" s="42">
        <v>180</v>
      </c>
      <c r="O700" s="42">
        <f t="shared" si="177"/>
        <v>180</v>
      </c>
      <c r="P700" s="203">
        <f t="shared" si="178"/>
        <v>180</v>
      </c>
    </row>
    <row r="701" spans="1:16" ht="15.75" hidden="1" customHeight="1" outlineLevel="1" x14ac:dyDescent="0.25">
      <c r="A701" s="39" t="s">
        <v>11</v>
      </c>
      <c r="B701" s="46" t="s">
        <v>524</v>
      </c>
      <c r="C701" s="246"/>
      <c r="D701" s="47" t="s">
        <v>137</v>
      </c>
      <c r="E701" s="39" t="s">
        <v>17</v>
      </c>
      <c r="F701" s="39" t="s">
        <v>297</v>
      </c>
      <c r="G701" s="39" t="s">
        <v>322</v>
      </c>
      <c r="H701" s="42">
        <v>0</v>
      </c>
      <c r="I701" s="42">
        <v>0</v>
      </c>
      <c r="J701" s="42">
        <v>0</v>
      </c>
      <c r="K701" s="42">
        <v>10</v>
      </c>
      <c r="L701" s="42">
        <f t="shared" si="179"/>
        <v>12</v>
      </c>
      <c r="M701" s="42">
        <v>10</v>
      </c>
      <c r="N701" s="42">
        <v>0</v>
      </c>
      <c r="O701" s="42">
        <f t="shared" si="177"/>
        <v>0</v>
      </c>
      <c r="P701" s="203">
        <f t="shared" si="178"/>
        <v>0</v>
      </c>
    </row>
    <row r="702" spans="1:16" ht="15.75" hidden="1" customHeight="1" outlineLevel="1" x14ac:dyDescent="0.25">
      <c r="A702" s="39" t="s">
        <v>11</v>
      </c>
      <c r="B702" s="46" t="s">
        <v>524</v>
      </c>
      <c r="C702" s="246"/>
      <c r="D702" s="47" t="s">
        <v>142</v>
      </c>
      <c r="E702" s="39" t="s">
        <v>17</v>
      </c>
      <c r="F702" s="39" t="s">
        <v>297</v>
      </c>
      <c r="G702" s="39" t="s">
        <v>145</v>
      </c>
      <c r="H702" s="42">
        <v>0</v>
      </c>
      <c r="I702" s="42">
        <v>12</v>
      </c>
      <c r="J702" s="42">
        <v>12</v>
      </c>
      <c r="K702" s="42">
        <v>12</v>
      </c>
      <c r="L702" s="42">
        <f t="shared" si="179"/>
        <v>0</v>
      </c>
      <c r="M702" s="42">
        <v>0</v>
      </c>
      <c r="N702" s="42">
        <v>0</v>
      </c>
      <c r="O702" s="42">
        <f t="shared" si="177"/>
        <v>0</v>
      </c>
      <c r="P702" s="203">
        <f t="shared" si="178"/>
        <v>0</v>
      </c>
    </row>
    <row r="703" spans="1:16" ht="15.75" hidden="1" customHeight="1" outlineLevel="1" x14ac:dyDescent="0.25">
      <c r="A703" s="39" t="s">
        <v>11</v>
      </c>
      <c r="B703" s="46" t="s">
        <v>524</v>
      </c>
      <c r="C703" s="246"/>
      <c r="D703" s="47" t="s">
        <v>151</v>
      </c>
      <c r="E703" s="39" t="s">
        <v>17</v>
      </c>
      <c r="F703" s="39" t="s">
        <v>297</v>
      </c>
      <c r="G703" s="39" t="s">
        <v>152</v>
      </c>
      <c r="H703" s="42">
        <v>399.51</v>
      </c>
      <c r="I703" s="42">
        <v>443.96</v>
      </c>
      <c r="J703" s="42">
        <v>400</v>
      </c>
      <c r="K703" s="42">
        <v>400</v>
      </c>
      <c r="L703" s="42">
        <v>400</v>
      </c>
      <c r="M703" s="42">
        <v>326.95</v>
      </c>
      <c r="N703" s="42">
        <v>560</v>
      </c>
      <c r="O703" s="42">
        <f t="shared" si="177"/>
        <v>560</v>
      </c>
      <c r="P703" s="203">
        <f t="shared" si="178"/>
        <v>560</v>
      </c>
    </row>
    <row r="704" spans="1:16" ht="15.75" hidden="1" customHeight="1" outlineLevel="1" thickBot="1" x14ac:dyDescent="0.3">
      <c r="A704" s="39"/>
      <c r="B704" s="46"/>
      <c r="C704" s="246"/>
      <c r="D704" s="59" t="s">
        <v>155</v>
      </c>
      <c r="E704" s="45" t="s">
        <v>17</v>
      </c>
      <c r="F704" s="45" t="s">
        <v>297</v>
      </c>
      <c r="G704" s="45" t="s">
        <v>156</v>
      </c>
      <c r="H704" s="64">
        <v>66.19</v>
      </c>
      <c r="I704" s="64">
        <v>84.31</v>
      </c>
      <c r="J704" s="64">
        <v>95</v>
      </c>
      <c r="K704" s="64">
        <v>95</v>
      </c>
      <c r="L704" s="64">
        <v>70.867499999999993</v>
      </c>
      <c r="M704" s="64">
        <v>47.98</v>
      </c>
      <c r="N704" s="42">
        <v>120</v>
      </c>
      <c r="O704" s="42">
        <f t="shared" si="177"/>
        <v>120</v>
      </c>
      <c r="P704" s="203">
        <f t="shared" si="178"/>
        <v>120</v>
      </c>
    </row>
    <row r="705" spans="1:16" ht="15.75" customHeight="1" collapsed="1" thickBot="1" x14ac:dyDescent="0.3">
      <c r="A705" s="39" t="s">
        <v>11</v>
      </c>
      <c r="B705" s="46" t="s">
        <v>525</v>
      </c>
      <c r="C705" s="246"/>
      <c r="D705" s="60" t="s">
        <v>593</v>
      </c>
      <c r="E705" s="76"/>
      <c r="F705" s="76"/>
      <c r="G705" s="61" t="s">
        <v>654</v>
      </c>
      <c r="H705" s="62">
        <f>SUM(H680:H704)</f>
        <v>11496.889999999998</v>
      </c>
      <c r="I705" s="62">
        <f t="shared" ref="I705:P705" si="180">SUM(I680:I704)</f>
        <v>14941.52</v>
      </c>
      <c r="J705" s="62">
        <f t="shared" si="180"/>
        <v>14479</v>
      </c>
      <c r="K705" s="62">
        <f t="shared" si="180"/>
        <v>14479</v>
      </c>
      <c r="L705" s="62">
        <f t="shared" si="180"/>
        <v>13966.917625</v>
      </c>
      <c r="M705" s="62">
        <f t="shared" si="180"/>
        <v>10404.630000000001</v>
      </c>
      <c r="N705" s="62">
        <f t="shared" si="180"/>
        <v>19241</v>
      </c>
      <c r="O705" s="62">
        <f t="shared" si="180"/>
        <v>19241</v>
      </c>
      <c r="P705" s="63">
        <f t="shared" si="180"/>
        <v>19241</v>
      </c>
    </row>
    <row r="706" spans="1:16" hidden="1" outlineLevel="1" collapsed="1" x14ac:dyDescent="0.25">
      <c r="A706" s="39" t="s">
        <v>11</v>
      </c>
      <c r="B706" s="46" t="s">
        <v>525</v>
      </c>
      <c r="C706" s="246"/>
      <c r="D706" s="58" t="s">
        <v>32</v>
      </c>
      <c r="E706" s="40" t="s">
        <v>17</v>
      </c>
      <c r="F706" s="40" t="s">
        <v>300</v>
      </c>
      <c r="G706" s="40" t="s">
        <v>34</v>
      </c>
      <c r="H706" s="41">
        <v>0</v>
      </c>
      <c r="I706" s="41">
        <v>0</v>
      </c>
      <c r="J706" s="41">
        <v>65</v>
      </c>
      <c r="K706" s="41">
        <v>65</v>
      </c>
      <c r="L706" s="41">
        <f>L716*0.14</f>
        <v>5.6000000000000005</v>
      </c>
      <c r="M706" s="41">
        <v>0</v>
      </c>
      <c r="N706" s="41">
        <v>84</v>
      </c>
      <c r="O706" s="41">
        <f t="shared" si="168"/>
        <v>84</v>
      </c>
      <c r="P706" s="201">
        <f t="shared" si="169"/>
        <v>84</v>
      </c>
    </row>
    <row r="707" spans="1:16" ht="15.75" hidden="1" customHeight="1" outlineLevel="1" x14ac:dyDescent="0.25">
      <c r="A707" s="39" t="s">
        <v>11</v>
      </c>
      <c r="B707" s="46" t="s">
        <v>525</v>
      </c>
      <c r="C707" s="246"/>
      <c r="D707" s="47" t="s">
        <v>36</v>
      </c>
      <c r="E707" s="39" t="s">
        <v>17</v>
      </c>
      <c r="F707" s="39" t="s">
        <v>300</v>
      </c>
      <c r="G707" s="39" t="s">
        <v>38</v>
      </c>
      <c r="H707" s="42">
        <v>0</v>
      </c>
      <c r="I707" s="42">
        <v>0</v>
      </c>
      <c r="J707" s="42">
        <v>4</v>
      </c>
      <c r="K707" s="42">
        <v>4</v>
      </c>
      <c r="L707" s="42">
        <f>L716*0.008</f>
        <v>0.32</v>
      </c>
      <c r="M707" s="42">
        <v>0</v>
      </c>
      <c r="N707" s="42">
        <v>5</v>
      </c>
      <c r="O707" s="42">
        <f t="shared" si="168"/>
        <v>5</v>
      </c>
      <c r="P707" s="203">
        <f t="shared" si="169"/>
        <v>5</v>
      </c>
    </row>
    <row r="708" spans="1:16" ht="15.75" hidden="1" customHeight="1" outlineLevel="1" x14ac:dyDescent="0.25">
      <c r="A708" s="39" t="s">
        <v>11</v>
      </c>
      <c r="B708" s="46" t="s">
        <v>525</v>
      </c>
      <c r="C708" s="246"/>
      <c r="D708" s="47" t="s">
        <v>40</v>
      </c>
      <c r="E708" s="39" t="s">
        <v>17</v>
      </c>
      <c r="F708" s="39" t="s">
        <v>300</v>
      </c>
      <c r="G708" s="39" t="s">
        <v>42</v>
      </c>
      <c r="H708" s="42">
        <v>0</v>
      </c>
      <c r="I708" s="42">
        <v>0</v>
      </c>
      <c r="J708" s="42">
        <v>14</v>
      </c>
      <c r="K708" s="42">
        <v>14</v>
      </c>
      <c r="L708" s="42">
        <f>L716*0.03</f>
        <v>1.2</v>
      </c>
      <c r="M708" s="42">
        <v>0</v>
      </c>
      <c r="N708" s="42">
        <v>18</v>
      </c>
      <c r="O708" s="42">
        <f t="shared" si="168"/>
        <v>18</v>
      </c>
      <c r="P708" s="203">
        <f t="shared" si="169"/>
        <v>18</v>
      </c>
    </row>
    <row r="709" spans="1:16" ht="15.75" hidden="1" customHeight="1" outlineLevel="1" x14ac:dyDescent="0.25">
      <c r="A709" s="39" t="s">
        <v>11</v>
      </c>
      <c r="B709" s="46" t="s">
        <v>525</v>
      </c>
      <c r="C709" s="246"/>
      <c r="D709" s="47" t="s">
        <v>48</v>
      </c>
      <c r="E709" s="39" t="s">
        <v>17</v>
      </c>
      <c r="F709" s="39" t="s">
        <v>300</v>
      </c>
      <c r="G709" s="39" t="s">
        <v>50</v>
      </c>
      <c r="H709" s="42">
        <v>0</v>
      </c>
      <c r="I709" s="42">
        <v>0</v>
      </c>
      <c r="J709" s="42">
        <v>22</v>
      </c>
      <c r="K709" s="42">
        <v>22</v>
      </c>
      <c r="L709" s="42">
        <f>L716*0.0475</f>
        <v>1.9</v>
      </c>
      <c r="M709" s="42">
        <v>0</v>
      </c>
      <c r="N709" s="42">
        <v>29</v>
      </c>
      <c r="O709" s="42">
        <f t="shared" si="168"/>
        <v>29</v>
      </c>
      <c r="P709" s="203">
        <f t="shared" si="169"/>
        <v>29</v>
      </c>
    </row>
    <row r="710" spans="1:16" ht="15.75" hidden="1" customHeight="1" outlineLevel="1" x14ac:dyDescent="0.25">
      <c r="A710" s="39" t="s">
        <v>11</v>
      </c>
      <c r="B710" s="46" t="s">
        <v>525</v>
      </c>
      <c r="C710" s="246"/>
      <c r="D710" s="47" t="s">
        <v>56</v>
      </c>
      <c r="E710" s="39" t="s">
        <v>17</v>
      </c>
      <c r="F710" s="39" t="s">
        <v>300</v>
      </c>
      <c r="G710" s="39" t="s">
        <v>303</v>
      </c>
      <c r="H710" s="42">
        <v>151.97999999999999</v>
      </c>
      <c r="I710" s="42">
        <v>146</v>
      </c>
      <c r="J710" s="42">
        <v>200</v>
      </c>
      <c r="K710" s="42">
        <v>200</v>
      </c>
      <c r="L710" s="42">
        <v>200</v>
      </c>
      <c r="M710" s="42">
        <v>0</v>
      </c>
      <c r="N710" s="42">
        <v>200</v>
      </c>
      <c r="O710" s="42">
        <f t="shared" si="168"/>
        <v>200</v>
      </c>
      <c r="P710" s="203">
        <f t="shared" si="169"/>
        <v>200</v>
      </c>
    </row>
    <row r="711" spans="1:16" ht="15.75" hidden="1" customHeight="1" outlineLevel="1" x14ac:dyDescent="0.25">
      <c r="A711" s="39" t="s">
        <v>11</v>
      </c>
      <c r="B711" s="46" t="s">
        <v>525</v>
      </c>
      <c r="C711" s="246"/>
      <c r="D711" s="47" t="s">
        <v>56</v>
      </c>
      <c r="E711" s="39" t="s">
        <v>17</v>
      </c>
      <c r="F711" s="39" t="s">
        <v>300</v>
      </c>
      <c r="G711" s="39" t="s">
        <v>304</v>
      </c>
      <c r="H711" s="42">
        <v>225.94</v>
      </c>
      <c r="I711" s="42">
        <v>384.1</v>
      </c>
      <c r="J711" s="42">
        <v>300</v>
      </c>
      <c r="K711" s="42">
        <v>300</v>
      </c>
      <c r="L711" s="42">
        <f>M711/10*12</f>
        <v>224.39999999999998</v>
      </c>
      <c r="M711" s="42">
        <v>187</v>
      </c>
      <c r="N711" s="42">
        <v>300</v>
      </c>
      <c r="O711" s="42">
        <f t="shared" si="168"/>
        <v>300</v>
      </c>
      <c r="P711" s="203">
        <f t="shared" si="169"/>
        <v>300</v>
      </c>
    </row>
    <row r="712" spans="1:16" ht="15.75" hidden="1" customHeight="1" outlineLevel="1" x14ac:dyDescent="0.25">
      <c r="A712" s="39" t="s">
        <v>11</v>
      </c>
      <c r="B712" s="46" t="s">
        <v>525</v>
      </c>
      <c r="C712" s="246"/>
      <c r="D712" s="47" t="s">
        <v>56</v>
      </c>
      <c r="E712" s="39" t="s">
        <v>17</v>
      </c>
      <c r="F712" s="39" t="s">
        <v>300</v>
      </c>
      <c r="G712" s="39" t="s">
        <v>305</v>
      </c>
      <c r="H712" s="42">
        <f>50+150.4</f>
        <v>200.4</v>
      </c>
      <c r="I712" s="42">
        <v>4162.8999999999996</v>
      </c>
      <c r="J712" s="42">
        <v>3000</v>
      </c>
      <c r="K712" s="42">
        <v>3000</v>
      </c>
      <c r="L712" s="42">
        <f>M712/10*12</f>
        <v>1552.0439999999999</v>
      </c>
      <c r="M712" s="42">
        <v>1293.3699999999999</v>
      </c>
      <c r="N712" s="42">
        <v>2000</v>
      </c>
      <c r="O712" s="42">
        <f t="shared" si="168"/>
        <v>2000</v>
      </c>
      <c r="P712" s="203">
        <f t="shared" si="169"/>
        <v>2000</v>
      </c>
    </row>
    <row r="713" spans="1:16" ht="15.75" hidden="1" customHeight="1" outlineLevel="1" x14ac:dyDescent="0.25">
      <c r="A713" s="39" t="s">
        <v>11</v>
      </c>
      <c r="B713" s="46" t="s">
        <v>525</v>
      </c>
      <c r="C713" s="246"/>
      <c r="D713" s="47" t="s">
        <v>65</v>
      </c>
      <c r="E713" s="39" t="s">
        <v>17</v>
      </c>
      <c r="F713" s="39" t="s">
        <v>300</v>
      </c>
      <c r="G713" s="39" t="s">
        <v>308</v>
      </c>
      <c r="H713" s="42">
        <v>8.65</v>
      </c>
      <c r="I713" s="42">
        <v>8.64</v>
      </c>
      <c r="J713" s="42">
        <v>12</v>
      </c>
      <c r="K713" s="42">
        <v>12</v>
      </c>
      <c r="L713" s="42">
        <f>M713/10*12</f>
        <v>6.911999999999999</v>
      </c>
      <c r="M713" s="42">
        <v>5.76</v>
      </c>
      <c r="N713" s="42">
        <v>12</v>
      </c>
      <c r="O713" s="42">
        <f t="shared" si="168"/>
        <v>12</v>
      </c>
      <c r="P713" s="203">
        <f t="shared" si="169"/>
        <v>12</v>
      </c>
    </row>
    <row r="714" spans="1:16" ht="15.75" hidden="1" customHeight="1" outlineLevel="1" x14ac:dyDescent="0.25">
      <c r="A714" s="39" t="s">
        <v>11</v>
      </c>
      <c r="B714" s="46" t="s">
        <v>525</v>
      </c>
      <c r="C714" s="246"/>
      <c r="D714" s="47" t="s">
        <v>74</v>
      </c>
      <c r="E714" s="39" t="s">
        <v>17</v>
      </c>
      <c r="F714" s="39" t="s">
        <v>300</v>
      </c>
      <c r="G714" s="39" t="s">
        <v>312</v>
      </c>
      <c r="H714" s="42">
        <v>231.43</v>
      </c>
      <c r="I714" s="42">
        <v>232.85</v>
      </c>
      <c r="J714" s="42">
        <v>233</v>
      </c>
      <c r="K714" s="42">
        <v>233</v>
      </c>
      <c r="L714" s="42">
        <f>M714/10*12</f>
        <v>49.032000000000004</v>
      </c>
      <c r="M714" s="42">
        <v>40.86</v>
      </c>
      <c r="N714" s="42">
        <v>80</v>
      </c>
      <c r="O714" s="42">
        <f t="shared" ref="O714:O722" si="181">N714</f>
        <v>80</v>
      </c>
      <c r="P714" s="203">
        <f t="shared" ref="P714:P722" si="182">N714</f>
        <v>80</v>
      </c>
    </row>
    <row r="715" spans="1:16" ht="15.75" hidden="1" customHeight="1" outlineLevel="1" x14ac:dyDescent="0.25">
      <c r="A715" s="39" t="s">
        <v>11</v>
      </c>
      <c r="B715" s="46" t="s">
        <v>526</v>
      </c>
      <c r="C715" s="246"/>
      <c r="D715" s="47" t="s">
        <v>135</v>
      </c>
      <c r="E715" s="39" t="s">
        <v>17</v>
      </c>
      <c r="F715" s="39" t="s">
        <v>300</v>
      </c>
      <c r="G715" s="39" t="s">
        <v>320</v>
      </c>
      <c r="H715" s="42">
        <v>145.5</v>
      </c>
      <c r="I715" s="42">
        <v>373.2</v>
      </c>
      <c r="J715" s="42">
        <v>280</v>
      </c>
      <c r="K715" s="42">
        <v>200</v>
      </c>
      <c r="L715" s="42">
        <f>M715/10*12</f>
        <v>91.176000000000016</v>
      </c>
      <c r="M715" s="42">
        <v>75.98</v>
      </c>
      <c r="N715" s="42">
        <v>100</v>
      </c>
      <c r="O715" s="42">
        <f t="shared" si="181"/>
        <v>100</v>
      </c>
      <c r="P715" s="203">
        <f t="shared" si="182"/>
        <v>100</v>
      </c>
    </row>
    <row r="716" spans="1:16" ht="15.75" hidden="1" customHeight="1" outlineLevel="1" x14ac:dyDescent="0.25">
      <c r="A716" s="39" t="s">
        <v>11</v>
      </c>
      <c r="B716" s="46" t="s">
        <v>525</v>
      </c>
      <c r="C716" s="246"/>
      <c r="D716" s="47" t="s">
        <v>135</v>
      </c>
      <c r="E716" s="39" t="s">
        <v>17</v>
      </c>
      <c r="F716" s="39" t="s">
        <v>300</v>
      </c>
      <c r="G716" s="39" t="s">
        <v>321</v>
      </c>
      <c r="H716" s="42">
        <v>63.5</v>
      </c>
      <c r="I716" s="42">
        <v>38.5</v>
      </c>
      <c r="J716" s="42">
        <v>0</v>
      </c>
      <c r="K716" s="42">
        <v>80</v>
      </c>
      <c r="L716" s="42">
        <v>40</v>
      </c>
      <c r="M716" s="42">
        <v>38.4</v>
      </c>
      <c r="N716" s="42">
        <v>40</v>
      </c>
      <c r="O716" s="42">
        <f t="shared" si="181"/>
        <v>40</v>
      </c>
      <c r="P716" s="203">
        <f t="shared" si="182"/>
        <v>40</v>
      </c>
    </row>
    <row r="717" spans="1:16" ht="15.75" hidden="1" customHeight="1" outlineLevel="1" thickBot="1" x14ac:dyDescent="0.3">
      <c r="A717" s="39"/>
      <c r="B717" s="46"/>
      <c r="C717" s="246"/>
      <c r="D717" s="59" t="s">
        <v>162</v>
      </c>
      <c r="E717" s="45" t="s">
        <v>17</v>
      </c>
      <c r="F717" s="45" t="s">
        <v>300</v>
      </c>
      <c r="G717" s="45" t="s">
        <v>163</v>
      </c>
      <c r="H717" s="64">
        <v>360.04</v>
      </c>
      <c r="I717" s="64">
        <v>893.38</v>
      </c>
      <c r="J717" s="64">
        <v>500</v>
      </c>
      <c r="K717" s="64">
        <v>500</v>
      </c>
      <c r="L717" s="64">
        <v>500</v>
      </c>
      <c r="M717" s="64">
        <v>0</v>
      </c>
      <c r="N717" s="64">
        <v>600</v>
      </c>
      <c r="O717" s="64">
        <f t="shared" si="181"/>
        <v>600</v>
      </c>
      <c r="P717" s="205">
        <f t="shared" si="182"/>
        <v>600</v>
      </c>
    </row>
    <row r="718" spans="1:16" ht="15.75" customHeight="1" collapsed="1" thickBot="1" x14ac:dyDescent="0.3">
      <c r="A718" s="39" t="s">
        <v>11</v>
      </c>
      <c r="B718" s="46" t="s">
        <v>493</v>
      </c>
      <c r="C718" s="246"/>
      <c r="D718" s="60" t="s">
        <v>593</v>
      </c>
      <c r="E718" s="76"/>
      <c r="F718" s="76"/>
      <c r="G718" s="61" t="s">
        <v>655</v>
      </c>
      <c r="H718" s="52">
        <f>SUM(H706:H717)</f>
        <v>1387.4399999999998</v>
      </c>
      <c r="I718" s="62">
        <f t="shared" ref="I718:P718" si="183">SUM(I706:I717)</f>
        <v>6239.5700000000006</v>
      </c>
      <c r="J718" s="62">
        <f t="shared" si="183"/>
        <v>4630</v>
      </c>
      <c r="K718" s="62">
        <f t="shared" si="183"/>
        <v>4630</v>
      </c>
      <c r="L718" s="62">
        <f t="shared" si="183"/>
        <v>2672.5839999999998</v>
      </c>
      <c r="M718" s="62">
        <f t="shared" si="183"/>
        <v>1641.37</v>
      </c>
      <c r="N718" s="62">
        <f t="shared" si="183"/>
        <v>3468</v>
      </c>
      <c r="O718" s="62">
        <f t="shared" si="183"/>
        <v>3468</v>
      </c>
      <c r="P718" s="63">
        <f t="shared" si="183"/>
        <v>3468</v>
      </c>
    </row>
    <row r="719" spans="1:16" hidden="1" outlineLevel="1" collapsed="1" x14ac:dyDescent="0.25">
      <c r="A719" s="39" t="s">
        <v>11</v>
      </c>
      <c r="B719" s="46" t="s">
        <v>493</v>
      </c>
      <c r="C719" s="246"/>
      <c r="D719" s="58" t="s">
        <v>56</v>
      </c>
      <c r="E719" s="40" t="s">
        <v>17</v>
      </c>
      <c r="F719" s="40" t="s">
        <v>306</v>
      </c>
      <c r="G719" s="40" t="s">
        <v>57</v>
      </c>
      <c r="H719" s="41">
        <v>371.57</v>
      </c>
      <c r="I719" s="41">
        <v>725.16</v>
      </c>
      <c r="J719" s="41">
        <v>700</v>
      </c>
      <c r="K719" s="41">
        <v>700</v>
      </c>
      <c r="L719" s="41">
        <v>600</v>
      </c>
      <c r="M719" s="41">
        <v>196</v>
      </c>
      <c r="N719" s="41">
        <v>700</v>
      </c>
      <c r="O719" s="41">
        <f t="shared" si="181"/>
        <v>700</v>
      </c>
      <c r="P719" s="201">
        <f t="shared" si="182"/>
        <v>700</v>
      </c>
    </row>
    <row r="720" spans="1:16" ht="15.75" hidden="1" customHeight="1" outlineLevel="1" x14ac:dyDescent="0.25">
      <c r="A720" s="39" t="s">
        <v>11</v>
      </c>
      <c r="B720" s="46" t="s">
        <v>493</v>
      </c>
      <c r="C720" s="246"/>
      <c r="D720" s="47" t="s">
        <v>56</v>
      </c>
      <c r="E720" s="39" t="s">
        <v>17</v>
      </c>
      <c r="F720" s="39" t="s">
        <v>306</v>
      </c>
      <c r="G720" s="39" t="s">
        <v>189</v>
      </c>
      <c r="H720" s="42">
        <v>127.81</v>
      </c>
      <c r="I720" s="42">
        <v>151.25</v>
      </c>
      <c r="J720" s="42">
        <v>150</v>
      </c>
      <c r="K720" s="42">
        <v>150</v>
      </c>
      <c r="L720" s="42">
        <f>M720/10*12</f>
        <v>123.82799999999999</v>
      </c>
      <c r="M720" s="42">
        <v>103.19</v>
      </c>
      <c r="N720" s="42">
        <v>150</v>
      </c>
      <c r="O720" s="42">
        <f t="shared" si="181"/>
        <v>150</v>
      </c>
      <c r="P720" s="203">
        <f t="shared" si="182"/>
        <v>150</v>
      </c>
    </row>
    <row r="721" spans="1:16" ht="15.75" hidden="1" customHeight="1" outlineLevel="1" x14ac:dyDescent="0.25">
      <c r="A721" s="39" t="s">
        <v>11</v>
      </c>
      <c r="B721" s="46" t="s">
        <v>493</v>
      </c>
      <c r="C721" s="246"/>
      <c r="D721" s="47" t="s">
        <v>65</v>
      </c>
      <c r="E721" s="39" t="s">
        <v>17</v>
      </c>
      <c r="F721" s="39" t="s">
        <v>306</v>
      </c>
      <c r="G721" s="39" t="s">
        <v>309</v>
      </c>
      <c r="H721" s="42">
        <v>2.81</v>
      </c>
      <c r="I721" s="42">
        <v>0</v>
      </c>
      <c r="J721" s="42">
        <v>6</v>
      </c>
      <c r="K721" s="42">
        <v>6</v>
      </c>
      <c r="L721" s="42">
        <v>6</v>
      </c>
      <c r="M721" s="42">
        <v>0</v>
      </c>
      <c r="N721" s="42">
        <v>6</v>
      </c>
      <c r="O721" s="42">
        <f t="shared" si="181"/>
        <v>6</v>
      </c>
      <c r="P721" s="203">
        <f t="shared" si="182"/>
        <v>6</v>
      </c>
    </row>
    <row r="722" spans="1:16" ht="15.75" hidden="1" customHeight="1" outlineLevel="1" x14ac:dyDescent="0.25">
      <c r="A722" s="39" t="s">
        <v>11</v>
      </c>
      <c r="B722" s="46" t="s">
        <v>493</v>
      </c>
      <c r="C722" s="246"/>
      <c r="D722" s="47" t="s">
        <v>88</v>
      </c>
      <c r="E722" s="39" t="s">
        <v>17</v>
      </c>
      <c r="F722" s="39" t="s">
        <v>306</v>
      </c>
      <c r="G722" s="39" t="s">
        <v>313</v>
      </c>
      <c r="H722" s="42">
        <v>14</v>
      </c>
      <c r="I722" s="42">
        <v>38.96</v>
      </c>
      <c r="J722" s="42">
        <v>50</v>
      </c>
      <c r="K722" s="42">
        <v>50</v>
      </c>
      <c r="L722" s="42">
        <f>M722/10*12</f>
        <v>0</v>
      </c>
      <c r="M722" s="42">
        <v>0</v>
      </c>
      <c r="N722" s="42">
        <v>50</v>
      </c>
      <c r="O722" s="42">
        <f t="shared" si="181"/>
        <v>50</v>
      </c>
      <c r="P722" s="203">
        <f t="shared" si="182"/>
        <v>50</v>
      </c>
    </row>
    <row r="723" spans="1:16" ht="15.75" hidden="1" customHeight="1" outlineLevel="1" x14ac:dyDescent="0.25">
      <c r="A723" s="39" t="s">
        <v>11</v>
      </c>
      <c r="B723" s="46" t="s">
        <v>493</v>
      </c>
      <c r="C723" s="246"/>
      <c r="D723" s="47" t="s">
        <v>114</v>
      </c>
      <c r="E723" s="39" t="s">
        <v>17</v>
      </c>
      <c r="F723" s="39" t="s">
        <v>306</v>
      </c>
      <c r="G723" s="39" t="s">
        <v>115</v>
      </c>
      <c r="H723" s="42">
        <v>0</v>
      </c>
      <c r="I723" s="42">
        <v>0</v>
      </c>
      <c r="J723" s="42">
        <v>300</v>
      </c>
      <c r="K723" s="42">
        <v>300</v>
      </c>
      <c r="L723" s="42">
        <f>M723/10*12</f>
        <v>0</v>
      </c>
      <c r="M723" s="42">
        <v>0</v>
      </c>
      <c r="N723" s="42">
        <v>0</v>
      </c>
      <c r="O723" s="42">
        <v>0</v>
      </c>
      <c r="P723" s="203">
        <v>0</v>
      </c>
    </row>
    <row r="724" spans="1:16" ht="15.75" hidden="1" customHeight="1" outlineLevel="1" thickBot="1" x14ac:dyDescent="0.3">
      <c r="A724" s="39"/>
      <c r="B724" s="46"/>
      <c r="C724" s="246"/>
      <c r="D724" s="59" t="s">
        <v>135</v>
      </c>
      <c r="E724" s="45" t="s">
        <v>17</v>
      </c>
      <c r="F724" s="45" t="s">
        <v>306</v>
      </c>
      <c r="G724" s="45" t="s">
        <v>136</v>
      </c>
      <c r="H724" s="64">
        <v>44</v>
      </c>
      <c r="I724" s="64">
        <v>224.3</v>
      </c>
      <c r="J724" s="64">
        <v>100</v>
      </c>
      <c r="K724" s="64">
        <v>100</v>
      </c>
      <c r="L724" s="64">
        <f>M724/10*12</f>
        <v>27.096</v>
      </c>
      <c r="M724" s="64">
        <v>22.58</v>
      </c>
      <c r="N724" s="64">
        <v>50</v>
      </c>
      <c r="O724" s="64">
        <f t="shared" ref="O724" si="184">N724</f>
        <v>50</v>
      </c>
      <c r="P724" s="205">
        <f t="shared" ref="P724" si="185">N724</f>
        <v>50</v>
      </c>
    </row>
    <row r="725" spans="1:16" ht="15.75" customHeight="1" collapsed="1" thickBot="1" x14ac:dyDescent="0.3">
      <c r="A725" s="39"/>
      <c r="B725" s="46"/>
      <c r="C725" s="247"/>
      <c r="D725" s="60" t="s">
        <v>593</v>
      </c>
      <c r="E725" s="76"/>
      <c r="F725" s="76"/>
      <c r="G725" s="61" t="s">
        <v>656</v>
      </c>
      <c r="H725" s="62">
        <f>SUM(H719:H724)</f>
        <v>560.19000000000005</v>
      </c>
      <c r="I725" s="62">
        <f t="shared" ref="I725:P725" si="186">SUM(I719:I724)</f>
        <v>1139.67</v>
      </c>
      <c r="J725" s="62">
        <f t="shared" si="186"/>
        <v>1306</v>
      </c>
      <c r="K725" s="62">
        <f t="shared" si="186"/>
        <v>1306</v>
      </c>
      <c r="L725" s="62">
        <f t="shared" si="186"/>
        <v>756.92399999999998</v>
      </c>
      <c r="M725" s="62">
        <f t="shared" si="186"/>
        <v>321.77</v>
      </c>
      <c r="N725" s="62">
        <f t="shared" si="186"/>
        <v>956</v>
      </c>
      <c r="O725" s="62">
        <f t="shared" si="186"/>
        <v>956</v>
      </c>
      <c r="P725" s="63">
        <f t="shared" si="186"/>
        <v>956</v>
      </c>
    </row>
    <row r="726" spans="1:16" ht="15.75" collapsed="1" thickBot="1" x14ac:dyDescent="0.3">
      <c r="A726" s="1" t="s">
        <v>11</v>
      </c>
      <c r="B726" s="13" t="s">
        <v>505</v>
      </c>
      <c r="C726" s="161" t="s">
        <v>657</v>
      </c>
      <c r="D726" s="162"/>
      <c r="E726" s="163"/>
      <c r="F726" s="164"/>
      <c r="G726" s="164" t="s">
        <v>658</v>
      </c>
      <c r="H726" s="164">
        <v>234.2</v>
      </c>
      <c r="I726" s="164">
        <f t="shared" ref="I726:P726" si="187">I728+I727</f>
        <v>1744.8</v>
      </c>
      <c r="J726" s="164">
        <f t="shared" si="187"/>
        <v>1000</v>
      </c>
      <c r="K726" s="164">
        <f t="shared" si="187"/>
        <v>1000</v>
      </c>
      <c r="L726" s="164">
        <f t="shared" si="187"/>
        <v>1000</v>
      </c>
      <c r="M726" s="164">
        <f t="shared" si="187"/>
        <v>0</v>
      </c>
      <c r="N726" s="164">
        <f t="shared" si="187"/>
        <v>1000</v>
      </c>
      <c r="O726" s="164">
        <f t="shared" si="187"/>
        <v>1000</v>
      </c>
      <c r="P726" s="165">
        <f t="shared" si="187"/>
        <v>1000</v>
      </c>
    </row>
    <row r="727" spans="1:16" hidden="1" outlineLevel="1" x14ac:dyDescent="0.25">
      <c r="A727" s="39" t="s">
        <v>11</v>
      </c>
      <c r="B727" s="46" t="s">
        <v>505</v>
      </c>
      <c r="C727" s="200" t="s">
        <v>330</v>
      </c>
      <c r="D727" s="40" t="s">
        <v>135</v>
      </c>
      <c r="E727" s="40" t="s">
        <v>17</v>
      </c>
      <c r="F727" s="40" t="s">
        <v>331</v>
      </c>
      <c r="G727" s="40" t="s">
        <v>552</v>
      </c>
      <c r="H727" s="41">
        <v>0</v>
      </c>
      <c r="I727" s="41">
        <v>744.8</v>
      </c>
      <c r="J727" s="41">
        <v>1000</v>
      </c>
      <c r="K727" s="41">
        <v>1000</v>
      </c>
      <c r="L727" s="41">
        <v>1000</v>
      </c>
      <c r="M727" s="41">
        <v>0</v>
      </c>
      <c r="N727" s="41">
        <v>1000</v>
      </c>
      <c r="O727" s="41">
        <f t="shared" ref="O727:O728" si="188">N727</f>
        <v>1000</v>
      </c>
      <c r="P727" s="201">
        <f t="shared" ref="P727:P728" si="189">N727</f>
        <v>1000</v>
      </c>
    </row>
    <row r="728" spans="1:16" ht="15.75" hidden="1" outlineLevel="1" thickBot="1" x14ac:dyDescent="0.3">
      <c r="C728" s="204" t="s">
        <v>330</v>
      </c>
      <c r="D728" s="45" t="s">
        <v>135</v>
      </c>
      <c r="E728" s="45" t="s">
        <v>332</v>
      </c>
      <c r="F728" s="45" t="s">
        <v>331</v>
      </c>
      <c r="G728" s="45" t="s">
        <v>552</v>
      </c>
      <c r="H728" s="64">
        <v>0</v>
      </c>
      <c r="I728" s="64">
        <v>1000</v>
      </c>
      <c r="J728" s="64">
        <v>0</v>
      </c>
      <c r="K728" s="64">
        <v>0</v>
      </c>
      <c r="L728" s="64">
        <v>0</v>
      </c>
      <c r="M728" s="64">
        <v>0</v>
      </c>
      <c r="N728" s="64">
        <v>0</v>
      </c>
      <c r="O728" s="64">
        <f t="shared" si="188"/>
        <v>0</v>
      </c>
      <c r="P728" s="205">
        <f t="shared" si="189"/>
        <v>0</v>
      </c>
    </row>
    <row r="729" spans="1:16" ht="15.75" collapsed="1" thickBot="1" x14ac:dyDescent="0.3">
      <c r="A729" s="1" t="s">
        <v>11</v>
      </c>
      <c r="B729" s="13" t="s">
        <v>540</v>
      </c>
      <c r="C729" s="161" t="s">
        <v>659</v>
      </c>
      <c r="D729" s="162"/>
      <c r="E729" s="163"/>
      <c r="F729" s="164"/>
      <c r="G729" s="164" t="s">
        <v>660</v>
      </c>
      <c r="H729" s="164">
        <f>H732+H733+H734+H735+H736+H737+H738+H739+H740+H741+H742+H743+H744+H745</f>
        <v>7030.57</v>
      </c>
      <c r="I729" s="164">
        <f t="shared" ref="I729:P729" si="190">I732+I733+I734+I735+I736+I737+I738+I739+I740+I741+I742+I743+I744+I745</f>
        <v>8904.84</v>
      </c>
      <c r="J729" s="164">
        <f t="shared" si="190"/>
        <v>9150</v>
      </c>
      <c r="K729" s="164">
        <f t="shared" si="190"/>
        <v>9150</v>
      </c>
      <c r="L729" s="164">
        <f t="shared" si="190"/>
        <v>9071.8320000000003</v>
      </c>
      <c r="M729" s="164">
        <f t="shared" si="190"/>
        <v>7966.24</v>
      </c>
      <c r="N729" s="164">
        <f t="shared" si="190"/>
        <v>15350</v>
      </c>
      <c r="O729" s="164">
        <f t="shared" si="190"/>
        <v>15350</v>
      </c>
      <c r="P729" s="165">
        <f t="shared" si="190"/>
        <v>15350</v>
      </c>
    </row>
    <row r="730" spans="1:16" hidden="1" outlineLevel="1" collapsed="1" x14ac:dyDescent="0.25">
      <c r="A730" s="39" t="s">
        <v>11</v>
      </c>
      <c r="B730" s="46" t="s">
        <v>540</v>
      </c>
      <c r="C730" s="245"/>
      <c r="D730" s="115" t="s">
        <v>593</v>
      </c>
      <c r="E730" s="40" t="s">
        <v>17</v>
      </c>
      <c r="F730" s="40" t="s">
        <v>333</v>
      </c>
      <c r="G730" s="40" t="s">
        <v>334</v>
      </c>
      <c r="H730" s="41">
        <v>700.57</v>
      </c>
      <c r="I730" s="41">
        <v>674.84</v>
      </c>
      <c r="J730" s="41">
        <v>700</v>
      </c>
      <c r="K730" s="41">
        <v>690</v>
      </c>
      <c r="L730" s="41">
        <f>M730/10*12</f>
        <v>611.83200000000011</v>
      </c>
      <c r="M730" s="41">
        <v>509.86</v>
      </c>
      <c r="N730" s="41">
        <v>700</v>
      </c>
      <c r="O730" s="41">
        <f t="shared" ref="O730:O745" si="191">N730</f>
        <v>700</v>
      </c>
      <c r="P730" s="201">
        <f t="shared" ref="P730:P746" si="192">N730</f>
        <v>700</v>
      </c>
    </row>
    <row r="731" spans="1:16" hidden="1" outlineLevel="1" x14ac:dyDescent="0.25">
      <c r="A731" s="39" t="s">
        <v>11</v>
      </c>
      <c r="B731" s="46" t="s">
        <v>540</v>
      </c>
      <c r="C731" s="246"/>
      <c r="D731" s="116" t="s">
        <v>593</v>
      </c>
      <c r="E731" s="39" t="s">
        <v>17</v>
      </c>
      <c r="F731" s="39" t="s">
        <v>333</v>
      </c>
      <c r="G731" s="39" t="s">
        <v>335</v>
      </c>
      <c r="H731" s="42">
        <v>0</v>
      </c>
      <c r="I731" s="42">
        <v>0</v>
      </c>
      <c r="J731" s="42">
        <v>0</v>
      </c>
      <c r="K731" s="42">
        <v>10</v>
      </c>
      <c r="L731" s="42">
        <v>10</v>
      </c>
      <c r="M731" s="42">
        <v>9.3800000000000008</v>
      </c>
      <c r="N731" s="42">
        <v>0</v>
      </c>
      <c r="O731" s="42">
        <f t="shared" si="191"/>
        <v>0</v>
      </c>
      <c r="P731" s="203">
        <f t="shared" si="192"/>
        <v>0</v>
      </c>
    </row>
    <row r="732" spans="1:16" collapsed="1" x14ac:dyDescent="0.25">
      <c r="A732" s="39"/>
      <c r="B732" s="46" t="s">
        <v>540</v>
      </c>
      <c r="C732" s="246"/>
      <c r="D732" s="116" t="s">
        <v>720</v>
      </c>
      <c r="E732" s="39"/>
      <c r="F732" s="39"/>
      <c r="G732" s="39" t="s">
        <v>725</v>
      </c>
      <c r="H732" s="42">
        <f>SUM(H730:H731)</f>
        <v>700.57</v>
      </c>
      <c r="I732" s="42">
        <f t="shared" ref="I732:P732" si="193">SUM(I730:I731)</f>
        <v>674.84</v>
      </c>
      <c r="J732" s="42">
        <f t="shared" si="193"/>
        <v>700</v>
      </c>
      <c r="K732" s="42">
        <f t="shared" si="193"/>
        <v>700</v>
      </c>
      <c r="L732" s="42">
        <f t="shared" si="193"/>
        <v>621.83200000000011</v>
      </c>
      <c r="M732" s="42">
        <f t="shared" si="193"/>
        <v>519.24</v>
      </c>
      <c r="N732" s="42">
        <f t="shared" si="193"/>
        <v>700</v>
      </c>
      <c r="O732" s="42">
        <f t="shared" si="193"/>
        <v>700</v>
      </c>
      <c r="P732" s="203">
        <f t="shared" si="193"/>
        <v>700</v>
      </c>
    </row>
    <row r="733" spans="1:16" x14ac:dyDescent="0.25">
      <c r="A733" s="39" t="s">
        <v>11</v>
      </c>
      <c r="B733" s="46" t="s">
        <v>541</v>
      </c>
      <c r="C733" s="246"/>
      <c r="D733" s="116" t="s">
        <v>593</v>
      </c>
      <c r="E733" s="39" t="s">
        <v>17</v>
      </c>
      <c r="F733" s="39" t="s">
        <v>333</v>
      </c>
      <c r="G733" s="39" t="s">
        <v>724</v>
      </c>
      <c r="H733" s="42">
        <v>780</v>
      </c>
      <c r="I733" s="42">
        <v>780</v>
      </c>
      <c r="J733" s="42">
        <v>1000</v>
      </c>
      <c r="K733" s="42">
        <v>1000</v>
      </c>
      <c r="L733" s="42">
        <v>1000</v>
      </c>
      <c r="M733" s="42">
        <v>1000</v>
      </c>
      <c r="N733" s="42">
        <v>1000</v>
      </c>
      <c r="O733" s="42">
        <f t="shared" si="191"/>
        <v>1000</v>
      </c>
      <c r="P733" s="203">
        <f t="shared" si="192"/>
        <v>1000</v>
      </c>
    </row>
    <row r="734" spans="1:16" x14ac:dyDescent="0.25">
      <c r="A734" s="39" t="s">
        <v>11</v>
      </c>
      <c r="B734" s="46" t="s">
        <v>541</v>
      </c>
      <c r="C734" s="246"/>
      <c r="D734" s="116" t="s">
        <v>593</v>
      </c>
      <c r="E734" s="39" t="s">
        <v>17</v>
      </c>
      <c r="F734" s="39" t="s">
        <v>337</v>
      </c>
      <c r="G734" s="39" t="s">
        <v>726</v>
      </c>
      <c r="H734" s="42">
        <v>900</v>
      </c>
      <c r="I734" s="42">
        <v>900</v>
      </c>
      <c r="J734" s="42">
        <v>900</v>
      </c>
      <c r="K734" s="42">
        <v>900</v>
      </c>
      <c r="L734" s="42">
        <v>900</v>
      </c>
      <c r="M734" s="42">
        <v>900</v>
      </c>
      <c r="N734" s="42">
        <v>900</v>
      </c>
      <c r="O734" s="42">
        <f t="shared" si="191"/>
        <v>900</v>
      </c>
      <c r="P734" s="203">
        <f t="shared" si="192"/>
        <v>900</v>
      </c>
    </row>
    <row r="735" spans="1:16" x14ac:dyDescent="0.25">
      <c r="A735" s="39" t="s">
        <v>11</v>
      </c>
      <c r="B735" s="46" t="s">
        <v>541</v>
      </c>
      <c r="C735" s="246"/>
      <c r="D735" s="116" t="s">
        <v>593</v>
      </c>
      <c r="E735" s="39" t="s">
        <v>17</v>
      </c>
      <c r="F735" s="39" t="s">
        <v>338</v>
      </c>
      <c r="G735" s="39" t="s">
        <v>727</v>
      </c>
      <c r="H735" s="42">
        <v>350</v>
      </c>
      <c r="I735" s="42">
        <v>400</v>
      </c>
      <c r="J735" s="42">
        <v>400</v>
      </c>
      <c r="K735" s="42">
        <v>400</v>
      </c>
      <c r="L735" s="42">
        <v>400</v>
      </c>
      <c r="M735" s="42">
        <v>0</v>
      </c>
      <c r="N735" s="42">
        <v>400</v>
      </c>
      <c r="O735" s="42">
        <f t="shared" si="191"/>
        <v>400</v>
      </c>
      <c r="P735" s="203">
        <f t="shared" si="192"/>
        <v>400</v>
      </c>
    </row>
    <row r="736" spans="1:16" x14ac:dyDescent="0.25">
      <c r="A736" s="39" t="s">
        <v>11</v>
      </c>
      <c r="B736" s="46" t="s">
        <v>531</v>
      </c>
      <c r="C736" s="246"/>
      <c r="D736" s="116" t="s">
        <v>593</v>
      </c>
      <c r="E736" s="39" t="s">
        <v>17</v>
      </c>
      <c r="F736" s="39" t="s">
        <v>339</v>
      </c>
      <c r="G736" s="39" t="s">
        <v>728</v>
      </c>
      <c r="H736" s="42">
        <v>300</v>
      </c>
      <c r="I736" s="42">
        <v>350</v>
      </c>
      <c r="J736" s="42">
        <v>350</v>
      </c>
      <c r="K736" s="42">
        <v>350</v>
      </c>
      <c r="L736" s="42">
        <v>350</v>
      </c>
      <c r="M736" s="42">
        <v>350</v>
      </c>
      <c r="N736" s="42">
        <v>500</v>
      </c>
      <c r="O736" s="42">
        <f t="shared" si="191"/>
        <v>500</v>
      </c>
      <c r="P736" s="203">
        <f t="shared" si="192"/>
        <v>500</v>
      </c>
    </row>
    <row r="737" spans="1:20" x14ac:dyDescent="0.25">
      <c r="A737" s="39" t="s">
        <v>11</v>
      </c>
      <c r="B737" s="46" t="s">
        <v>527</v>
      </c>
      <c r="C737" s="246"/>
      <c r="D737" s="116" t="s">
        <v>593</v>
      </c>
      <c r="E737" s="39" t="s">
        <v>17</v>
      </c>
      <c r="F737" s="39" t="s">
        <v>336</v>
      </c>
      <c r="G737" s="39" t="s">
        <v>729</v>
      </c>
      <c r="H737" s="42">
        <v>300</v>
      </c>
      <c r="I737" s="42">
        <v>400</v>
      </c>
      <c r="J737" s="42">
        <v>400</v>
      </c>
      <c r="K737" s="42">
        <v>400</v>
      </c>
      <c r="L737" s="42">
        <v>400</v>
      </c>
      <c r="M737" s="42">
        <v>197</v>
      </c>
      <c r="N737" s="42">
        <v>500</v>
      </c>
      <c r="O737" s="42">
        <f t="shared" si="191"/>
        <v>500</v>
      </c>
      <c r="P737" s="203">
        <f t="shared" si="192"/>
        <v>500</v>
      </c>
    </row>
    <row r="738" spans="1:20" x14ac:dyDescent="0.25">
      <c r="A738" s="39" t="s">
        <v>11</v>
      </c>
      <c r="B738" s="46" t="s">
        <v>527</v>
      </c>
      <c r="C738" s="246"/>
      <c r="D738" s="116" t="s">
        <v>593</v>
      </c>
      <c r="E738" s="39" t="s">
        <v>17</v>
      </c>
      <c r="F738" s="39" t="s">
        <v>342</v>
      </c>
      <c r="G738" s="39" t="s">
        <v>730</v>
      </c>
      <c r="H738" s="42">
        <v>200</v>
      </c>
      <c r="I738" s="42">
        <v>500</v>
      </c>
      <c r="J738" s="42">
        <v>500</v>
      </c>
      <c r="K738" s="42">
        <v>500</v>
      </c>
      <c r="L738" s="42">
        <v>500</v>
      </c>
      <c r="M738" s="42">
        <v>500</v>
      </c>
      <c r="N738" s="42">
        <v>0</v>
      </c>
      <c r="O738" s="42">
        <f t="shared" si="191"/>
        <v>0</v>
      </c>
      <c r="P738" s="203">
        <f t="shared" si="192"/>
        <v>0</v>
      </c>
    </row>
    <row r="739" spans="1:20" x14ac:dyDescent="0.25">
      <c r="A739" s="39" t="s">
        <v>11</v>
      </c>
      <c r="B739" s="46" t="s">
        <v>527</v>
      </c>
      <c r="C739" s="246"/>
      <c r="D739" s="116" t="s">
        <v>593</v>
      </c>
      <c r="E739" s="39" t="s">
        <v>17</v>
      </c>
      <c r="F739" s="39" t="s">
        <v>342</v>
      </c>
      <c r="G739" s="39" t="s">
        <v>731</v>
      </c>
      <c r="H739" s="42">
        <v>200</v>
      </c>
      <c r="I739" s="42">
        <v>500</v>
      </c>
      <c r="J739" s="42">
        <v>500</v>
      </c>
      <c r="K739" s="42">
        <v>500</v>
      </c>
      <c r="L739" s="42">
        <v>500</v>
      </c>
      <c r="M739" s="42">
        <v>500</v>
      </c>
      <c r="N739" s="42">
        <v>500</v>
      </c>
      <c r="O739" s="42">
        <f t="shared" si="191"/>
        <v>500</v>
      </c>
      <c r="P739" s="203">
        <f t="shared" si="192"/>
        <v>500</v>
      </c>
    </row>
    <row r="740" spans="1:20" x14ac:dyDescent="0.25">
      <c r="A740" s="39" t="s">
        <v>11</v>
      </c>
      <c r="B740" s="46" t="s">
        <v>508</v>
      </c>
      <c r="C740" s="246"/>
      <c r="D740" s="116" t="s">
        <v>593</v>
      </c>
      <c r="E740" s="39" t="s">
        <v>17</v>
      </c>
      <c r="F740" s="39" t="s">
        <v>340</v>
      </c>
      <c r="G740" s="39" t="s">
        <v>732</v>
      </c>
      <c r="H740" s="42">
        <v>300</v>
      </c>
      <c r="I740" s="42">
        <v>400</v>
      </c>
      <c r="J740" s="42">
        <v>400</v>
      </c>
      <c r="K740" s="42">
        <v>400</v>
      </c>
      <c r="L740" s="42">
        <v>400</v>
      </c>
      <c r="M740" s="42">
        <v>0</v>
      </c>
      <c r="N740" s="42">
        <v>500</v>
      </c>
      <c r="O740" s="42">
        <f t="shared" si="191"/>
        <v>500</v>
      </c>
      <c r="P740" s="203">
        <f t="shared" si="192"/>
        <v>500</v>
      </c>
    </row>
    <row r="741" spans="1:20" x14ac:dyDescent="0.25">
      <c r="A741" s="6"/>
      <c r="B741" s="75"/>
      <c r="C741" s="246"/>
      <c r="D741" s="116" t="s">
        <v>593</v>
      </c>
      <c r="E741" s="39" t="s">
        <v>17</v>
      </c>
      <c r="F741" s="39" t="s">
        <v>341</v>
      </c>
      <c r="G741" s="39" t="s">
        <v>733</v>
      </c>
      <c r="H741" s="42">
        <v>3000</v>
      </c>
      <c r="I741" s="42">
        <v>4000</v>
      </c>
      <c r="J741" s="42">
        <v>4000</v>
      </c>
      <c r="K741" s="42">
        <v>4000</v>
      </c>
      <c r="L741" s="42">
        <v>4000</v>
      </c>
      <c r="M741" s="42">
        <v>4000</v>
      </c>
      <c r="N741" s="42">
        <v>4000</v>
      </c>
      <c r="O741" s="42">
        <f t="shared" si="191"/>
        <v>4000</v>
      </c>
      <c r="P741" s="203">
        <f t="shared" si="192"/>
        <v>4000</v>
      </c>
    </row>
    <row r="742" spans="1:20" x14ac:dyDescent="0.25">
      <c r="A742" s="6"/>
      <c r="B742" s="75"/>
      <c r="C742" s="246"/>
      <c r="D742" s="117">
        <v>600</v>
      </c>
      <c r="E742" s="6"/>
      <c r="F742" s="6"/>
      <c r="G742" s="39" t="s">
        <v>734</v>
      </c>
      <c r="H742" s="105">
        <v>0</v>
      </c>
      <c r="I742" s="105">
        <v>0</v>
      </c>
      <c r="J742" s="105">
        <v>0</v>
      </c>
      <c r="K742" s="105"/>
      <c r="L742" s="105">
        <v>0</v>
      </c>
      <c r="M742" s="6"/>
      <c r="N742" s="42">
        <v>850</v>
      </c>
      <c r="O742" s="42">
        <f t="shared" si="191"/>
        <v>850</v>
      </c>
      <c r="P742" s="203">
        <f t="shared" si="192"/>
        <v>850</v>
      </c>
    </row>
    <row r="743" spans="1:20" x14ac:dyDescent="0.25">
      <c r="A743" s="6"/>
      <c r="B743" s="75"/>
      <c r="C743" s="246"/>
      <c r="D743" s="117">
        <v>600</v>
      </c>
      <c r="E743" s="6"/>
      <c r="F743" s="6"/>
      <c r="G743" s="39" t="s">
        <v>735</v>
      </c>
      <c r="H743" s="105">
        <v>0</v>
      </c>
      <c r="I743" s="105">
        <v>0</v>
      </c>
      <c r="J743" s="105">
        <v>0</v>
      </c>
      <c r="K743" s="105"/>
      <c r="L743" s="105">
        <v>0</v>
      </c>
      <c r="M743" s="6"/>
      <c r="N743" s="42">
        <v>200</v>
      </c>
      <c r="O743" s="42">
        <f t="shared" si="191"/>
        <v>200</v>
      </c>
      <c r="P743" s="203">
        <f t="shared" si="192"/>
        <v>200</v>
      </c>
    </row>
    <row r="744" spans="1:20" x14ac:dyDescent="0.25">
      <c r="A744" s="6"/>
      <c r="B744" s="75"/>
      <c r="C744" s="246"/>
      <c r="D744" s="117">
        <v>600</v>
      </c>
      <c r="E744" s="6"/>
      <c r="F744" s="6"/>
      <c r="G744" s="39" t="s">
        <v>736</v>
      </c>
      <c r="H744" s="105">
        <v>0</v>
      </c>
      <c r="I744" s="105">
        <v>0</v>
      </c>
      <c r="J744" s="105">
        <v>0</v>
      </c>
      <c r="K744" s="105"/>
      <c r="L744" s="105">
        <v>0</v>
      </c>
      <c r="M744" s="6"/>
      <c r="N744" s="42">
        <v>300</v>
      </c>
      <c r="O744" s="42">
        <f t="shared" si="191"/>
        <v>300</v>
      </c>
      <c r="P744" s="203">
        <f t="shared" si="192"/>
        <v>300</v>
      </c>
    </row>
    <row r="745" spans="1:20" ht="15.75" thickBot="1" x14ac:dyDescent="0.3">
      <c r="C745" s="247"/>
      <c r="D745" s="118">
        <v>600</v>
      </c>
      <c r="E745" s="119"/>
      <c r="F745" s="119"/>
      <c r="G745" s="45" t="s">
        <v>602</v>
      </c>
      <c r="H745" s="120">
        <v>0</v>
      </c>
      <c r="I745" s="120">
        <v>0</v>
      </c>
      <c r="J745" s="120">
        <v>0</v>
      </c>
      <c r="K745" s="120"/>
      <c r="L745" s="120">
        <v>0</v>
      </c>
      <c r="M745" s="119"/>
      <c r="N745" s="64">
        <v>5000</v>
      </c>
      <c r="O745" s="64">
        <f t="shared" si="191"/>
        <v>5000</v>
      </c>
      <c r="P745" s="205">
        <f t="shared" si="192"/>
        <v>5000</v>
      </c>
    </row>
    <row r="746" spans="1:20" ht="15.75" thickBot="1" x14ac:dyDescent="0.3">
      <c r="A746" s="3"/>
      <c r="B746" s="3"/>
      <c r="C746" s="161" t="s">
        <v>452</v>
      </c>
      <c r="D746" s="162" t="s">
        <v>482</v>
      </c>
      <c r="E746" s="163"/>
      <c r="F746" s="164"/>
      <c r="G746" s="164" t="s">
        <v>710</v>
      </c>
      <c r="H746" s="164">
        <v>0</v>
      </c>
      <c r="I746" s="164">
        <v>725.2</v>
      </c>
      <c r="J746" s="164">
        <v>0</v>
      </c>
      <c r="K746" s="164"/>
      <c r="L746" s="164">
        <v>607.20000000000005</v>
      </c>
      <c r="M746" s="164"/>
      <c r="N746" s="164">
        <v>0</v>
      </c>
      <c r="O746" s="164">
        <v>0</v>
      </c>
      <c r="P746" s="165">
        <f t="shared" si="192"/>
        <v>0</v>
      </c>
    </row>
    <row r="747" spans="1:20" ht="30.75" thickBot="1" x14ac:dyDescent="0.3">
      <c r="A747" s="2" t="s">
        <v>11</v>
      </c>
      <c r="B747" s="12" t="s">
        <v>11</v>
      </c>
      <c r="C747" s="161" t="s">
        <v>561</v>
      </c>
      <c r="D747" s="161"/>
      <c r="E747" s="162"/>
      <c r="F747" s="163"/>
      <c r="G747" s="164" t="s">
        <v>661</v>
      </c>
      <c r="H747" s="164">
        <f>H813+H867</f>
        <v>319716.62</v>
      </c>
      <c r="I747" s="164">
        <f t="shared" ref="I747:P747" si="194">I813+I867</f>
        <v>367231.64999999997</v>
      </c>
      <c r="J747" s="164">
        <f t="shared" si="194"/>
        <v>418661</v>
      </c>
      <c r="K747" s="164">
        <f t="shared" si="194"/>
        <v>294010.09999999998</v>
      </c>
      <c r="L747" s="164">
        <f t="shared" si="194"/>
        <v>365601.52800000005</v>
      </c>
      <c r="M747" s="164">
        <f t="shared" si="194"/>
        <v>223795.65000000002</v>
      </c>
      <c r="N747" s="164">
        <f t="shared" si="194"/>
        <v>439684</v>
      </c>
      <c r="O747" s="164">
        <f t="shared" si="194"/>
        <v>442184</v>
      </c>
      <c r="P747" s="165">
        <f t="shared" si="194"/>
        <v>442184</v>
      </c>
    </row>
    <row r="748" spans="1:20" hidden="1" outlineLevel="1" x14ac:dyDescent="0.25">
      <c r="A748" s="39" t="s">
        <v>11</v>
      </c>
      <c r="B748" s="46" t="s">
        <v>515</v>
      </c>
      <c r="C748" s="202" t="s">
        <v>343</v>
      </c>
      <c r="D748" s="39" t="s">
        <v>13</v>
      </c>
      <c r="E748" s="39" t="s">
        <v>14</v>
      </c>
      <c r="F748" s="39" t="s">
        <v>344</v>
      </c>
      <c r="G748" s="39" t="s">
        <v>19</v>
      </c>
      <c r="H748" s="42">
        <v>2356</v>
      </c>
      <c r="I748" s="42">
        <v>3130.52</v>
      </c>
      <c r="J748" s="42">
        <v>0</v>
      </c>
      <c r="K748" s="42">
        <v>3305</v>
      </c>
      <c r="L748" s="42">
        <v>3305</v>
      </c>
      <c r="M748" s="42">
        <v>2076</v>
      </c>
      <c r="N748" s="42">
        <v>3500</v>
      </c>
      <c r="O748" s="42">
        <f t="shared" ref="O748:O778" si="195">N748</f>
        <v>3500</v>
      </c>
      <c r="P748" s="203">
        <f t="shared" ref="P748:P778" si="196">N748</f>
        <v>3500</v>
      </c>
    </row>
    <row r="749" spans="1:20" hidden="1" outlineLevel="1" x14ac:dyDescent="0.25">
      <c r="A749" s="39"/>
      <c r="B749" s="46" t="s">
        <v>515</v>
      </c>
      <c r="C749" s="202" t="s">
        <v>343</v>
      </c>
      <c r="D749" s="39" t="s">
        <v>13</v>
      </c>
      <c r="E749" s="39" t="s">
        <v>17</v>
      </c>
      <c r="F749" s="39" t="s">
        <v>344</v>
      </c>
      <c r="G749" s="39" t="s">
        <v>19</v>
      </c>
      <c r="H749" s="42">
        <v>148447.65</v>
      </c>
      <c r="I749" s="42">
        <v>160857.54999999999</v>
      </c>
      <c r="J749" s="42">
        <v>185663</v>
      </c>
      <c r="K749" s="42">
        <v>174489</v>
      </c>
      <c r="L749" s="42">
        <v>177513.09</v>
      </c>
      <c r="M749" s="42">
        <v>139713.09</v>
      </c>
      <c r="N749" s="42">
        <v>204000</v>
      </c>
      <c r="O749" s="42">
        <f t="shared" si="195"/>
        <v>204000</v>
      </c>
      <c r="P749" s="203">
        <f t="shared" si="196"/>
        <v>204000</v>
      </c>
    </row>
    <row r="750" spans="1:20" ht="15.75" hidden="1" outlineLevel="1" thickBot="1" x14ac:dyDescent="0.3">
      <c r="A750" s="39"/>
      <c r="B750" s="46"/>
      <c r="C750" s="204" t="s">
        <v>343</v>
      </c>
      <c r="D750" s="39" t="s">
        <v>549</v>
      </c>
      <c r="E750" s="39" t="s">
        <v>17</v>
      </c>
      <c r="F750" s="39" t="s">
        <v>344</v>
      </c>
      <c r="G750" s="39" t="s">
        <v>550</v>
      </c>
      <c r="H750" s="42">
        <v>0</v>
      </c>
      <c r="I750" s="42">
        <v>0</v>
      </c>
      <c r="J750" s="42">
        <v>0</v>
      </c>
      <c r="K750" s="42">
        <v>0</v>
      </c>
      <c r="L750" s="42">
        <v>0</v>
      </c>
      <c r="M750" s="42">
        <v>0</v>
      </c>
      <c r="N750" s="42">
        <v>2200</v>
      </c>
      <c r="O750" s="42">
        <f>N750</f>
        <v>2200</v>
      </c>
      <c r="P750" s="203">
        <f>N750</f>
        <v>2200</v>
      </c>
    </row>
    <row r="751" spans="1:20" collapsed="1" x14ac:dyDescent="0.25">
      <c r="A751" s="39" t="s">
        <v>11</v>
      </c>
      <c r="B751" s="46" t="s">
        <v>515</v>
      </c>
      <c r="C751" s="170"/>
      <c r="D751" s="47" t="s">
        <v>468</v>
      </c>
      <c r="E751" s="39"/>
      <c r="F751" s="39"/>
      <c r="G751" s="20" t="s">
        <v>610</v>
      </c>
      <c r="H751" s="24">
        <f>H748+H749+H750</f>
        <v>150803.65</v>
      </c>
      <c r="I751" s="24">
        <f t="shared" ref="I751:P751" si="197">I748+I749+I750</f>
        <v>163988.06999999998</v>
      </c>
      <c r="J751" s="24">
        <f t="shared" si="197"/>
        <v>185663</v>
      </c>
      <c r="K751" s="24">
        <f t="shared" si="197"/>
        <v>177794</v>
      </c>
      <c r="L751" s="24">
        <f t="shared" si="197"/>
        <v>180818.09</v>
      </c>
      <c r="M751" s="24">
        <f t="shared" si="197"/>
        <v>141789.09</v>
      </c>
      <c r="N751" s="24">
        <f t="shared" si="197"/>
        <v>209700</v>
      </c>
      <c r="O751" s="24">
        <f t="shared" si="197"/>
        <v>209700</v>
      </c>
      <c r="P751" s="215">
        <f t="shared" si="197"/>
        <v>209700</v>
      </c>
      <c r="T751" s="78"/>
    </row>
    <row r="752" spans="1:20" ht="15" hidden="1" customHeight="1" outlineLevel="1" collapsed="1" x14ac:dyDescent="0.25">
      <c r="A752" s="39" t="s">
        <v>11</v>
      </c>
      <c r="B752" s="46" t="s">
        <v>515</v>
      </c>
      <c r="C752" s="171"/>
      <c r="D752" s="47" t="s">
        <v>22</v>
      </c>
      <c r="E752" s="39" t="s">
        <v>14</v>
      </c>
      <c r="F752" s="39" t="s">
        <v>344</v>
      </c>
      <c r="G752" s="39" t="s">
        <v>23</v>
      </c>
      <c r="H752" s="42">
        <v>58.4</v>
      </c>
      <c r="I752" s="42">
        <v>18.55</v>
      </c>
      <c r="J752" s="42">
        <v>60</v>
      </c>
      <c r="K752" s="42">
        <v>60</v>
      </c>
      <c r="L752" s="42">
        <v>60</v>
      </c>
      <c r="M752" s="42">
        <v>20</v>
      </c>
      <c r="N752" s="42">
        <v>0</v>
      </c>
      <c r="O752" s="42">
        <f t="shared" si="195"/>
        <v>0</v>
      </c>
      <c r="P752" s="203">
        <f t="shared" si="196"/>
        <v>0</v>
      </c>
    </row>
    <row r="753" spans="1:16" ht="15" hidden="1" customHeight="1" outlineLevel="1" x14ac:dyDescent="0.25">
      <c r="A753" s="39" t="s">
        <v>11</v>
      </c>
      <c r="B753" s="46" t="s">
        <v>515</v>
      </c>
      <c r="C753" s="171"/>
      <c r="D753" s="47" t="s">
        <v>22</v>
      </c>
      <c r="E753" s="39" t="s">
        <v>17</v>
      </c>
      <c r="F753" s="39" t="s">
        <v>344</v>
      </c>
      <c r="G753" s="39" t="s">
        <v>23</v>
      </c>
      <c r="H753" s="42">
        <v>4369.1099999999997</v>
      </c>
      <c r="I753" s="42">
        <v>5442.58</v>
      </c>
      <c r="J753" s="42">
        <v>4500</v>
      </c>
      <c r="K753" s="42">
        <v>5000</v>
      </c>
      <c r="L753" s="42">
        <v>9398.36</v>
      </c>
      <c r="M753" s="42">
        <v>5618.36</v>
      </c>
      <c r="N753" s="42">
        <v>15000</v>
      </c>
      <c r="O753" s="42">
        <f t="shared" si="195"/>
        <v>15000</v>
      </c>
      <c r="P753" s="203">
        <f t="shared" si="196"/>
        <v>15000</v>
      </c>
    </row>
    <row r="754" spans="1:16" ht="15" hidden="1" customHeight="1" outlineLevel="1" x14ac:dyDescent="0.25">
      <c r="A754" s="39" t="s">
        <v>11</v>
      </c>
      <c r="B754" s="46" t="s">
        <v>515</v>
      </c>
      <c r="C754" s="171"/>
      <c r="D754" s="47" t="s">
        <v>26</v>
      </c>
      <c r="E754" s="39" t="s">
        <v>14</v>
      </c>
      <c r="F754" s="39" t="s">
        <v>344</v>
      </c>
      <c r="G754" s="39" t="s">
        <v>205</v>
      </c>
      <c r="H754" s="42">
        <v>10.5</v>
      </c>
      <c r="I754" s="42">
        <v>293.64999999999998</v>
      </c>
      <c r="J754" s="42">
        <v>70</v>
      </c>
      <c r="K754" s="42">
        <v>120</v>
      </c>
      <c r="L754" s="42">
        <v>120</v>
      </c>
      <c r="M754" s="42">
        <v>187.6</v>
      </c>
      <c r="N754" s="42">
        <v>0</v>
      </c>
      <c r="O754" s="42">
        <f t="shared" si="195"/>
        <v>0</v>
      </c>
      <c r="P754" s="203">
        <f t="shared" si="196"/>
        <v>0</v>
      </c>
    </row>
    <row r="755" spans="1:16" ht="15" hidden="1" customHeight="1" outlineLevel="1" x14ac:dyDescent="0.25">
      <c r="A755" s="39" t="s">
        <v>11</v>
      </c>
      <c r="B755" s="46" t="s">
        <v>515</v>
      </c>
      <c r="C755" s="171"/>
      <c r="D755" s="47" t="s">
        <v>26</v>
      </c>
      <c r="E755" s="39" t="s">
        <v>17</v>
      </c>
      <c r="F755" s="39" t="s">
        <v>344</v>
      </c>
      <c r="G755" s="39" t="s">
        <v>27</v>
      </c>
      <c r="H755" s="42">
        <v>8894.2000000000007</v>
      </c>
      <c r="I755" s="42">
        <v>9563.6</v>
      </c>
      <c r="J755" s="42">
        <v>13936</v>
      </c>
      <c r="K755" s="42">
        <v>13316</v>
      </c>
      <c r="L755" s="42">
        <v>7290.61</v>
      </c>
      <c r="M755" s="42">
        <v>7290.61</v>
      </c>
      <c r="N755" s="42">
        <v>5500</v>
      </c>
      <c r="O755" s="42">
        <f t="shared" si="195"/>
        <v>5500</v>
      </c>
      <c r="P755" s="203">
        <f t="shared" si="196"/>
        <v>5500</v>
      </c>
    </row>
    <row r="756" spans="1:16" ht="15" hidden="1" customHeight="1" outlineLevel="1" x14ac:dyDescent="0.25">
      <c r="A756" s="39" t="s">
        <v>11</v>
      </c>
      <c r="B756" s="46" t="s">
        <v>515</v>
      </c>
      <c r="C756" s="171"/>
      <c r="D756" s="47" t="s">
        <v>52</v>
      </c>
      <c r="E756" s="39" t="s">
        <v>17</v>
      </c>
      <c r="F756" s="39" t="s">
        <v>344</v>
      </c>
      <c r="G756" s="39" t="s">
        <v>53</v>
      </c>
      <c r="H756" s="42">
        <v>1278</v>
      </c>
      <c r="I756" s="42">
        <v>1428</v>
      </c>
      <c r="J756" s="42">
        <v>1800</v>
      </c>
      <c r="K756" s="42">
        <v>1800</v>
      </c>
      <c r="L756" s="42">
        <v>1800</v>
      </c>
      <c r="M756" s="42">
        <v>1180</v>
      </c>
      <c r="N756" s="42">
        <v>2160</v>
      </c>
      <c r="O756" s="42">
        <f t="shared" si="195"/>
        <v>2160</v>
      </c>
      <c r="P756" s="203">
        <f t="shared" si="196"/>
        <v>2160</v>
      </c>
    </row>
    <row r="757" spans="1:16" ht="15" hidden="1" customHeight="1" outlineLevel="1" x14ac:dyDescent="0.25">
      <c r="A757" s="39" t="s">
        <v>11</v>
      </c>
      <c r="B757" s="46" t="s">
        <v>515</v>
      </c>
      <c r="C757" s="171"/>
      <c r="D757" s="47" t="s">
        <v>29</v>
      </c>
      <c r="E757" s="39" t="s">
        <v>14</v>
      </c>
      <c r="F757" s="39" t="s">
        <v>344</v>
      </c>
      <c r="G757" s="39" t="s">
        <v>30</v>
      </c>
      <c r="H757" s="42">
        <v>32.979999999999997</v>
      </c>
      <c r="I757" s="42">
        <v>43.02</v>
      </c>
      <c r="J757" s="42">
        <v>20</v>
      </c>
      <c r="K757" s="42">
        <v>20</v>
      </c>
      <c r="L757" s="42">
        <v>20</v>
      </c>
      <c r="M757" s="42">
        <v>37.19</v>
      </c>
      <c r="N757" s="42">
        <v>0</v>
      </c>
      <c r="O757" s="42">
        <f t="shared" si="195"/>
        <v>0</v>
      </c>
      <c r="P757" s="203">
        <f t="shared" si="196"/>
        <v>0</v>
      </c>
    </row>
    <row r="758" spans="1:16" ht="15" hidden="1" customHeight="1" outlineLevel="1" x14ac:dyDescent="0.25">
      <c r="A758" s="39" t="s">
        <v>11</v>
      </c>
      <c r="B758" s="46" t="s">
        <v>515</v>
      </c>
      <c r="C758" s="171"/>
      <c r="D758" s="47" t="s">
        <v>29</v>
      </c>
      <c r="E758" s="39" t="s">
        <v>17</v>
      </c>
      <c r="F758" s="39" t="s">
        <v>344</v>
      </c>
      <c r="G758" s="39" t="s">
        <v>30</v>
      </c>
      <c r="H758" s="42">
        <v>2059.91</v>
      </c>
      <c r="I758" s="42">
        <v>2213.46</v>
      </c>
      <c r="J758" s="42">
        <v>2579</v>
      </c>
      <c r="K758" s="42">
        <v>2579</v>
      </c>
      <c r="L758" s="42">
        <v>2451.04</v>
      </c>
      <c r="M758" s="42">
        <v>1921.84</v>
      </c>
      <c r="N758" s="42">
        <v>2870</v>
      </c>
      <c r="O758" s="42">
        <f t="shared" si="195"/>
        <v>2870</v>
      </c>
      <c r="P758" s="203">
        <f t="shared" si="196"/>
        <v>2870</v>
      </c>
    </row>
    <row r="759" spans="1:16" ht="15" hidden="1" customHeight="1" outlineLevel="1" x14ac:dyDescent="0.25">
      <c r="A759" s="39" t="s">
        <v>11</v>
      </c>
      <c r="B759" s="46" t="s">
        <v>515</v>
      </c>
      <c r="C759" s="171"/>
      <c r="D759" s="47" t="s">
        <v>32</v>
      </c>
      <c r="E759" s="39" t="s">
        <v>14</v>
      </c>
      <c r="F759" s="39" t="s">
        <v>344</v>
      </c>
      <c r="G759" s="39" t="s">
        <v>34</v>
      </c>
      <c r="H759" s="42">
        <v>329.84</v>
      </c>
      <c r="I759" s="42">
        <v>430.15</v>
      </c>
      <c r="J759" s="42">
        <v>150</v>
      </c>
      <c r="K759" s="42">
        <v>180</v>
      </c>
      <c r="L759" s="42">
        <v>180</v>
      </c>
      <c r="M759" s="42">
        <v>371.88</v>
      </c>
      <c r="N759" s="42">
        <v>0</v>
      </c>
      <c r="O759" s="42">
        <f t="shared" si="195"/>
        <v>0</v>
      </c>
      <c r="P759" s="203">
        <f t="shared" si="196"/>
        <v>0</v>
      </c>
    </row>
    <row r="760" spans="1:16" ht="15" hidden="1" customHeight="1" outlineLevel="1" x14ac:dyDescent="0.25">
      <c r="A760" s="39" t="s">
        <v>11</v>
      </c>
      <c r="B760" s="46" t="s">
        <v>515</v>
      </c>
      <c r="C760" s="171"/>
      <c r="D760" s="47" t="s">
        <v>32</v>
      </c>
      <c r="E760" s="39" t="s">
        <v>17</v>
      </c>
      <c r="F760" s="39" t="s">
        <v>344</v>
      </c>
      <c r="G760" s="39" t="s">
        <v>34</v>
      </c>
      <c r="H760" s="42">
        <v>20609.8</v>
      </c>
      <c r="I760" s="42">
        <v>22141.73</v>
      </c>
      <c r="J760" s="42">
        <v>25843</v>
      </c>
      <c r="K760" s="42">
        <v>23093</v>
      </c>
      <c r="L760" s="42">
        <v>24516.400000000001</v>
      </c>
      <c r="M760" s="42">
        <v>19224.400000000001</v>
      </c>
      <c r="N760" s="42">
        <v>28700</v>
      </c>
      <c r="O760" s="42">
        <f t="shared" si="195"/>
        <v>28700</v>
      </c>
      <c r="P760" s="203">
        <f t="shared" si="196"/>
        <v>28700</v>
      </c>
    </row>
    <row r="761" spans="1:16" ht="15" hidden="1" customHeight="1" outlineLevel="1" x14ac:dyDescent="0.25">
      <c r="A761" s="39" t="s">
        <v>11</v>
      </c>
      <c r="B761" s="46" t="s">
        <v>515</v>
      </c>
      <c r="C761" s="171"/>
      <c r="D761" s="47" t="s">
        <v>36</v>
      </c>
      <c r="E761" s="39" t="s">
        <v>14</v>
      </c>
      <c r="F761" s="39" t="s">
        <v>344</v>
      </c>
      <c r="G761" s="39" t="s">
        <v>38</v>
      </c>
      <c r="H761" s="42">
        <v>18.850000000000001</v>
      </c>
      <c r="I761" s="42">
        <v>24.58</v>
      </c>
      <c r="J761" s="42">
        <v>10</v>
      </c>
      <c r="K761" s="42">
        <v>10</v>
      </c>
      <c r="L761" s="42">
        <v>10</v>
      </c>
      <c r="M761" s="42">
        <v>21.25</v>
      </c>
      <c r="N761" s="42">
        <v>0</v>
      </c>
      <c r="O761" s="42">
        <f t="shared" si="195"/>
        <v>0</v>
      </c>
      <c r="P761" s="203">
        <f t="shared" si="196"/>
        <v>0</v>
      </c>
    </row>
    <row r="762" spans="1:16" ht="15" hidden="1" customHeight="1" outlineLevel="1" x14ac:dyDescent="0.25">
      <c r="A762" s="39" t="s">
        <v>11</v>
      </c>
      <c r="B762" s="46" t="s">
        <v>515</v>
      </c>
      <c r="C762" s="171"/>
      <c r="D762" s="47" t="s">
        <v>36</v>
      </c>
      <c r="E762" s="39" t="s">
        <v>17</v>
      </c>
      <c r="F762" s="39" t="s">
        <v>344</v>
      </c>
      <c r="G762" s="39" t="s">
        <v>38</v>
      </c>
      <c r="H762" s="42">
        <v>1176.7</v>
      </c>
      <c r="I762" s="42">
        <v>1268.04</v>
      </c>
      <c r="J762" s="42">
        <v>1475</v>
      </c>
      <c r="K762" s="42">
        <v>1475</v>
      </c>
      <c r="L762" s="42">
        <v>1400.3700000000001</v>
      </c>
      <c r="M762" s="42">
        <v>1097.97</v>
      </c>
      <c r="N762" s="42">
        <v>1640</v>
      </c>
      <c r="O762" s="42">
        <f t="shared" si="195"/>
        <v>1640</v>
      </c>
      <c r="P762" s="203">
        <f t="shared" si="196"/>
        <v>1640</v>
      </c>
    </row>
    <row r="763" spans="1:16" ht="15" hidden="1" customHeight="1" outlineLevel="1" x14ac:dyDescent="0.25">
      <c r="A763" s="39" t="s">
        <v>11</v>
      </c>
      <c r="B763" s="46" t="s">
        <v>515</v>
      </c>
      <c r="C763" s="171"/>
      <c r="D763" s="47" t="s">
        <v>40</v>
      </c>
      <c r="E763" s="39" t="s">
        <v>14</v>
      </c>
      <c r="F763" s="39" t="s">
        <v>344</v>
      </c>
      <c r="G763" s="39" t="s">
        <v>42</v>
      </c>
      <c r="H763" s="42">
        <v>70.680000000000007</v>
      </c>
      <c r="I763" s="42">
        <v>92.18</v>
      </c>
      <c r="J763" s="42">
        <v>30</v>
      </c>
      <c r="K763" s="42">
        <v>40</v>
      </c>
      <c r="L763" s="42">
        <v>40</v>
      </c>
      <c r="M763" s="42">
        <v>79.69</v>
      </c>
      <c r="N763" s="42">
        <v>0</v>
      </c>
      <c r="O763" s="42">
        <f t="shared" si="195"/>
        <v>0</v>
      </c>
      <c r="P763" s="203">
        <f t="shared" si="196"/>
        <v>0</v>
      </c>
    </row>
    <row r="764" spans="1:16" ht="15" hidden="1" customHeight="1" outlineLevel="1" x14ac:dyDescent="0.25">
      <c r="A764" s="39" t="s">
        <v>11</v>
      </c>
      <c r="B764" s="46" t="s">
        <v>515</v>
      </c>
      <c r="C764" s="171"/>
      <c r="D764" s="47" t="s">
        <v>40</v>
      </c>
      <c r="E764" s="39" t="s">
        <v>17</v>
      </c>
      <c r="F764" s="39" t="s">
        <v>344</v>
      </c>
      <c r="G764" s="39" t="s">
        <v>42</v>
      </c>
      <c r="H764" s="42">
        <v>4114.38</v>
      </c>
      <c r="I764" s="42">
        <v>4383.13</v>
      </c>
      <c r="J764" s="42">
        <v>5540</v>
      </c>
      <c r="K764" s="42">
        <v>5540</v>
      </c>
      <c r="L764" s="42">
        <v>4745.9799999999996</v>
      </c>
      <c r="M764" s="42">
        <v>3611.98</v>
      </c>
      <c r="N764" s="42">
        <v>6150</v>
      </c>
      <c r="O764" s="42">
        <f t="shared" si="195"/>
        <v>6150</v>
      </c>
      <c r="P764" s="203">
        <f t="shared" si="196"/>
        <v>6150</v>
      </c>
    </row>
    <row r="765" spans="1:16" ht="15" hidden="1" customHeight="1" outlineLevel="1" x14ac:dyDescent="0.25">
      <c r="A765" s="39" t="s">
        <v>11</v>
      </c>
      <c r="B765" s="46" t="s">
        <v>515</v>
      </c>
      <c r="C765" s="171"/>
      <c r="D765" s="47" t="s">
        <v>44</v>
      </c>
      <c r="E765" s="39" t="s">
        <v>14</v>
      </c>
      <c r="F765" s="39" t="s">
        <v>344</v>
      </c>
      <c r="G765" s="39" t="s">
        <v>46</v>
      </c>
      <c r="H765" s="42">
        <v>23.56</v>
      </c>
      <c r="I765" s="42">
        <v>30.73</v>
      </c>
      <c r="J765" s="42">
        <v>10</v>
      </c>
      <c r="K765" s="42">
        <v>20</v>
      </c>
      <c r="L765" s="42">
        <v>20</v>
      </c>
      <c r="M765" s="42">
        <v>26.56</v>
      </c>
      <c r="N765" s="42">
        <v>0</v>
      </c>
      <c r="O765" s="42">
        <f t="shared" si="195"/>
        <v>0</v>
      </c>
      <c r="P765" s="203">
        <f t="shared" si="196"/>
        <v>0</v>
      </c>
    </row>
    <row r="766" spans="1:16" ht="15" hidden="1" customHeight="1" outlineLevel="1" x14ac:dyDescent="0.25">
      <c r="A766" s="39" t="s">
        <v>11</v>
      </c>
      <c r="B766" s="46" t="s">
        <v>515</v>
      </c>
      <c r="C766" s="171"/>
      <c r="D766" s="47" t="s">
        <v>44</v>
      </c>
      <c r="E766" s="39" t="s">
        <v>17</v>
      </c>
      <c r="F766" s="39" t="s">
        <v>344</v>
      </c>
      <c r="G766" s="39" t="s">
        <v>46</v>
      </c>
      <c r="H766" s="42">
        <v>1371.08</v>
      </c>
      <c r="I766" s="42">
        <v>1460.76</v>
      </c>
      <c r="J766" s="42">
        <v>1847</v>
      </c>
      <c r="K766" s="42">
        <v>1847</v>
      </c>
      <c r="L766" s="42">
        <v>1581.74</v>
      </c>
      <c r="M766" s="42">
        <v>1203.74</v>
      </c>
      <c r="N766" s="42">
        <v>2050</v>
      </c>
      <c r="O766" s="42">
        <f t="shared" si="195"/>
        <v>2050</v>
      </c>
      <c r="P766" s="203">
        <f t="shared" si="196"/>
        <v>2050</v>
      </c>
    </row>
    <row r="767" spans="1:16" ht="15" hidden="1" customHeight="1" outlineLevel="1" x14ac:dyDescent="0.25">
      <c r="A767" s="39" t="s">
        <v>11</v>
      </c>
      <c r="B767" s="46" t="s">
        <v>515</v>
      </c>
      <c r="C767" s="171"/>
      <c r="D767" s="47" t="s">
        <v>48</v>
      </c>
      <c r="E767" s="39" t="s">
        <v>14</v>
      </c>
      <c r="F767" s="39" t="s">
        <v>344</v>
      </c>
      <c r="G767" s="39" t="s">
        <v>50</v>
      </c>
      <c r="H767" s="42">
        <v>111.92</v>
      </c>
      <c r="I767" s="42">
        <v>145.96</v>
      </c>
      <c r="J767" s="42">
        <v>45</v>
      </c>
      <c r="K767" s="42">
        <v>65</v>
      </c>
      <c r="L767" s="42">
        <v>65</v>
      </c>
      <c r="M767" s="42">
        <v>126.19</v>
      </c>
      <c r="N767" s="42">
        <v>0</v>
      </c>
      <c r="O767" s="42">
        <f t="shared" si="195"/>
        <v>0</v>
      </c>
      <c r="P767" s="203">
        <f t="shared" si="196"/>
        <v>0</v>
      </c>
    </row>
    <row r="768" spans="1:16" ht="15" hidden="1" customHeight="1" outlineLevel="1" x14ac:dyDescent="0.25">
      <c r="A768" s="39"/>
      <c r="B768" s="46"/>
      <c r="C768" s="171"/>
      <c r="D768" s="47" t="s">
        <v>48</v>
      </c>
      <c r="E768" s="39" t="s">
        <v>17</v>
      </c>
      <c r="F768" s="39" t="s">
        <v>344</v>
      </c>
      <c r="G768" s="39" t="s">
        <v>50</v>
      </c>
      <c r="H768" s="42">
        <v>6991.58</v>
      </c>
      <c r="I768" s="42">
        <v>6929.07</v>
      </c>
      <c r="J768" s="42">
        <v>8774</v>
      </c>
      <c r="K768" s="42">
        <v>8774</v>
      </c>
      <c r="L768" s="42">
        <v>8317.2900000000009</v>
      </c>
      <c r="M768" s="42">
        <v>6521.79</v>
      </c>
      <c r="N768" s="42">
        <v>9740</v>
      </c>
      <c r="O768" s="42">
        <f t="shared" si="195"/>
        <v>9740</v>
      </c>
      <c r="P768" s="203">
        <f t="shared" si="196"/>
        <v>9740</v>
      </c>
    </row>
    <row r="769" spans="1:16" ht="15" customHeight="1" collapsed="1" x14ac:dyDescent="0.25">
      <c r="A769" s="39" t="s">
        <v>11</v>
      </c>
      <c r="B769" s="46" t="s">
        <v>515</v>
      </c>
      <c r="C769" s="171"/>
      <c r="D769" s="47" t="s">
        <v>469</v>
      </c>
      <c r="E769" s="39"/>
      <c r="F769" s="39"/>
      <c r="G769" s="39" t="s">
        <v>652</v>
      </c>
      <c r="H769" s="24">
        <f>SUM(H752:H768)</f>
        <v>51521.489999999991</v>
      </c>
      <c r="I769" s="24">
        <f t="shared" ref="I769:P769" si="198">SUM(I752:I768)</f>
        <v>55909.19000000001</v>
      </c>
      <c r="J769" s="24">
        <f t="shared" si="198"/>
        <v>66689</v>
      </c>
      <c r="K769" s="24">
        <f t="shared" si="198"/>
        <v>63939</v>
      </c>
      <c r="L769" s="24">
        <f t="shared" si="198"/>
        <v>62016.790000000008</v>
      </c>
      <c r="M769" s="24">
        <f t="shared" si="198"/>
        <v>48541.05000000001</v>
      </c>
      <c r="N769" s="24">
        <f t="shared" si="198"/>
        <v>73810</v>
      </c>
      <c r="O769" s="24">
        <f t="shared" si="198"/>
        <v>73810</v>
      </c>
      <c r="P769" s="215">
        <f t="shared" si="198"/>
        <v>73810</v>
      </c>
    </row>
    <row r="770" spans="1:16" ht="15" hidden="1" customHeight="1" outlineLevel="1" collapsed="1" x14ac:dyDescent="0.25">
      <c r="A770" s="39"/>
      <c r="B770" s="46"/>
      <c r="C770" s="171"/>
      <c r="D770" s="47" t="s">
        <v>54</v>
      </c>
      <c r="E770" s="39" t="s">
        <v>17</v>
      </c>
      <c r="F770" s="39" t="s">
        <v>344</v>
      </c>
      <c r="G770" s="39" t="s">
        <v>348</v>
      </c>
      <c r="H770" s="42">
        <v>18.600000000000001</v>
      </c>
      <c r="I770" s="42">
        <v>70.849999999999994</v>
      </c>
      <c r="J770" s="42">
        <v>200</v>
      </c>
      <c r="K770" s="42">
        <v>200</v>
      </c>
      <c r="L770" s="42">
        <f t="shared" ref="L770:L805" si="199">M770/10*12</f>
        <v>17.88</v>
      </c>
      <c r="M770" s="42">
        <v>14.9</v>
      </c>
      <c r="N770" s="42">
        <v>100</v>
      </c>
      <c r="O770" s="42">
        <f t="shared" si="195"/>
        <v>100</v>
      </c>
      <c r="P770" s="203">
        <f t="shared" si="196"/>
        <v>100</v>
      </c>
    </row>
    <row r="771" spans="1:16" ht="15" customHeight="1" collapsed="1" x14ac:dyDescent="0.25">
      <c r="A771" s="39" t="s">
        <v>11</v>
      </c>
      <c r="B771" s="46" t="s">
        <v>515</v>
      </c>
      <c r="C771" s="171"/>
      <c r="D771" s="47" t="s">
        <v>480</v>
      </c>
      <c r="E771" s="39"/>
      <c r="F771" s="39"/>
      <c r="G771" s="39" t="s">
        <v>667</v>
      </c>
      <c r="H771" s="24">
        <f>SUM(H770)</f>
        <v>18.600000000000001</v>
      </c>
      <c r="I771" s="24">
        <f t="shared" ref="I771:P771" si="200">SUM(I770)</f>
        <v>70.849999999999994</v>
      </c>
      <c r="J771" s="24">
        <f t="shared" si="200"/>
        <v>200</v>
      </c>
      <c r="K771" s="24">
        <f t="shared" si="200"/>
        <v>200</v>
      </c>
      <c r="L771" s="24">
        <f t="shared" si="200"/>
        <v>17.88</v>
      </c>
      <c r="M771" s="24">
        <f t="shared" si="200"/>
        <v>14.9</v>
      </c>
      <c r="N771" s="24">
        <f t="shared" si="200"/>
        <v>100</v>
      </c>
      <c r="O771" s="24">
        <f t="shared" si="200"/>
        <v>100</v>
      </c>
      <c r="P771" s="215">
        <f t="shared" si="200"/>
        <v>100</v>
      </c>
    </row>
    <row r="772" spans="1:16" ht="15" hidden="1" customHeight="1" outlineLevel="1" collapsed="1" x14ac:dyDescent="0.25">
      <c r="A772" s="39" t="s">
        <v>11</v>
      </c>
      <c r="B772" s="46" t="s">
        <v>515</v>
      </c>
      <c r="C772" s="171"/>
      <c r="D772" s="47" t="s">
        <v>56</v>
      </c>
      <c r="E772" s="39" t="s">
        <v>17</v>
      </c>
      <c r="F772" s="39" t="s">
        <v>344</v>
      </c>
      <c r="G772" s="39" t="s">
        <v>349</v>
      </c>
      <c r="H772" s="42">
        <v>6181.72</v>
      </c>
      <c r="I772" s="42">
        <v>8039.99</v>
      </c>
      <c r="J772" s="42">
        <v>8000</v>
      </c>
      <c r="K772" s="42">
        <v>8000</v>
      </c>
      <c r="L772" s="42">
        <f t="shared" si="199"/>
        <v>7720.0320000000002</v>
      </c>
      <c r="M772" s="42">
        <v>6433.36</v>
      </c>
      <c r="N772" s="42">
        <v>8000</v>
      </c>
      <c r="O772" s="42">
        <f t="shared" si="195"/>
        <v>8000</v>
      </c>
      <c r="P772" s="203">
        <f t="shared" si="196"/>
        <v>8000</v>
      </c>
    </row>
    <row r="773" spans="1:16" ht="15" hidden="1" customHeight="1" outlineLevel="1" x14ac:dyDescent="0.25">
      <c r="A773" s="39" t="s">
        <v>11</v>
      </c>
      <c r="B773" s="46" t="s">
        <v>515</v>
      </c>
      <c r="C773" s="171"/>
      <c r="D773" s="47" t="s">
        <v>56</v>
      </c>
      <c r="E773" s="39" t="s">
        <v>17</v>
      </c>
      <c r="F773" s="39" t="s">
        <v>344</v>
      </c>
      <c r="G773" s="39" t="s">
        <v>350</v>
      </c>
      <c r="H773" s="42">
        <v>1905.76</v>
      </c>
      <c r="I773" s="42">
        <v>1995.08</v>
      </c>
      <c r="J773" s="42">
        <v>2000</v>
      </c>
      <c r="K773" s="42">
        <v>2000</v>
      </c>
      <c r="L773" s="42">
        <f t="shared" si="199"/>
        <v>1934.1719999999998</v>
      </c>
      <c r="M773" s="42">
        <v>1611.81</v>
      </c>
      <c r="N773" s="42">
        <v>2000</v>
      </c>
      <c r="O773" s="42">
        <f t="shared" si="195"/>
        <v>2000</v>
      </c>
      <c r="P773" s="203">
        <f t="shared" si="196"/>
        <v>2000</v>
      </c>
    </row>
    <row r="774" spans="1:16" ht="15" hidden="1" customHeight="1" outlineLevel="1" x14ac:dyDescent="0.25">
      <c r="A774" s="39" t="s">
        <v>11</v>
      </c>
      <c r="B774" s="46" t="s">
        <v>515</v>
      </c>
      <c r="C774" s="171"/>
      <c r="D774" s="47" t="s">
        <v>65</v>
      </c>
      <c r="E774" s="39" t="s">
        <v>17</v>
      </c>
      <c r="F774" s="39" t="s">
        <v>344</v>
      </c>
      <c r="G774" s="39" t="s">
        <v>66</v>
      </c>
      <c r="H774" s="42">
        <v>844</v>
      </c>
      <c r="I774" s="42">
        <v>562.75</v>
      </c>
      <c r="J774" s="42">
        <v>900</v>
      </c>
      <c r="K774" s="42">
        <v>900</v>
      </c>
      <c r="L774" s="42">
        <f t="shared" si="199"/>
        <v>1046.1239999999998</v>
      </c>
      <c r="M774" s="42">
        <v>871.77</v>
      </c>
      <c r="N774" s="42">
        <v>1100</v>
      </c>
      <c r="O774" s="42">
        <f t="shared" si="195"/>
        <v>1100</v>
      </c>
      <c r="P774" s="203">
        <f t="shared" si="196"/>
        <v>1100</v>
      </c>
    </row>
    <row r="775" spans="1:16" ht="15" hidden="1" customHeight="1" outlineLevel="1" x14ac:dyDescent="0.25">
      <c r="A775" s="39" t="s">
        <v>11</v>
      </c>
      <c r="B775" s="46" t="s">
        <v>515</v>
      </c>
      <c r="C775" s="171"/>
      <c r="D775" s="47" t="s">
        <v>69</v>
      </c>
      <c r="E775" s="39" t="s">
        <v>17</v>
      </c>
      <c r="F775" s="39" t="s">
        <v>344</v>
      </c>
      <c r="G775" s="39" t="s">
        <v>353</v>
      </c>
      <c r="H775" s="42">
        <v>0</v>
      </c>
      <c r="I775" s="42">
        <v>33.15</v>
      </c>
      <c r="J775" s="42">
        <v>0</v>
      </c>
      <c r="K775" s="42">
        <v>0</v>
      </c>
      <c r="L775" s="42">
        <f t="shared" si="199"/>
        <v>0</v>
      </c>
      <c r="M775" s="42">
        <v>0</v>
      </c>
      <c r="N775" s="42">
        <v>0</v>
      </c>
      <c r="O775" s="42">
        <f t="shared" si="195"/>
        <v>0</v>
      </c>
      <c r="P775" s="203">
        <f t="shared" si="196"/>
        <v>0</v>
      </c>
    </row>
    <row r="776" spans="1:16" ht="15" hidden="1" customHeight="1" outlineLevel="1" x14ac:dyDescent="0.25">
      <c r="A776" s="39" t="s">
        <v>11</v>
      </c>
      <c r="B776" s="46" t="s">
        <v>515</v>
      </c>
      <c r="C776" s="171"/>
      <c r="D776" s="47" t="s">
        <v>69</v>
      </c>
      <c r="E776" s="39" t="s">
        <v>17</v>
      </c>
      <c r="F776" s="39" t="s">
        <v>344</v>
      </c>
      <c r="G776" s="39" t="s">
        <v>206</v>
      </c>
      <c r="H776" s="42">
        <v>32.6</v>
      </c>
      <c r="I776" s="42">
        <v>0</v>
      </c>
      <c r="J776" s="42">
        <v>50</v>
      </c>
      <c r="K776" s="42">
        <v>50</v>
      </c>
      <c r="L776" s="42">
        <f t="shared" si="199"/>
        <v>7.8000000000000007</v>
      </c>
      <c r="M776" s="42">
        <v>6.5</v>
      </c>
      <c r="N776" s="42">
        <v>50</v>
      </c>
      <c r="O776" s="42">
        <f t="shared" si="195"/>
        <v>50</v>
      </c>
      <c r="P776" s="203">
        <f t="shared" si="196"/>
        <v>50</v>
      </c>
    </row>
    <row r="777" spans="1:16" ht="15" hidden="1" customHeight="1" outlineLevel="1" x14ac:dyDescent="0.25">
      <c r="A777" s="39" t="s">
        <v>11</v>
      </c>
      <c r="B777" s="46" t="s">
        <v>515</v>
      </c>
      <c r="C777" s="171"/>
      <c r="D777" s="47" t="s">
        <v>72</v>
      </c>
      <c r="E777" s="39" t="s">
        <v>17</v>
      </c>
      <c r="F777" s="39" t="s">
        <v>344</v>
      </c>
      <c r="G777" s="39" t="s">
        <v>73</v>
      </c>
      <c r="H777" s="42">
        <v>100.55</v>
      </c>
      <c r="I777" s="42">
        <v>72.400000000000006</v>
      </c>
      <c r="J777" s="42">
        <v>20</v>
      </c>
      <c r="K777" s="42">
        <v>45</v>
      </c>
      <c r="L777" s="42">
        <f t="shared" si="199"/>
        <v>51.84</v>
      </c>
      <c r="M777" s="42">
        <v>43.2</v>
      </c>
      <c r="N777" s="42">
        <v>50</v>
      </c>
      <c r="O777" s="42">
        <f t="shared" si="195"/>
        <v>50</v>
      </c>
      <c r="P777" s="203">
        <f t="shared" si="196"/>
        <v>50</v>
      </c>
    </row>
    <row r="778" spans="1:16" ht="15" hidden="1" customHeight="1" outlineLevel="1" x14ac:dyDescent="0.25">
      <c r="A778" s="39"/>
      <c r="B778" s="46"/>
      <c r="C778" s="171"/>
      <c r="D778" s="47" t="s">
        <v>74</v>
      </c>
      <c r="E778" s="39" t="s">
        <v>17</v>
      </c>
      <c r="F778" s="39" t="s">
        <v>344</v>
      </c>
      <c r="G778" s="39" t="s">
        <v>354</v>
      </c>
      <c r="H778" s="42">
        <v>178.54</v>
      </c>
      <c r="I778" s="42">
        <v>181.18</v>
      </c>
      <c r="J778" s="42">
        <v>200</v>
      </c>
      <c r="K778" s="42">
        <v>175</v>
      </c>
      <c r="L778" s="42">
        <f t="shared" si="199"/>
        <v>104.83200000000001</v>
      </c>
      <c r="M778" s="42">
        <v>87.36</v>
      </c>
      <c r="N778" s="42">
        <v>110</v>
      </c>
      <c r="O778" s="42">
        <f t="shared" si="195"/>
        <v>110</v>
      </c>
      <c r="P778" s="203">
        <f t="shared" si="196"/>
        <v>110</v>
      </c>
    </row>
    <row r="779" spans="1:16" ht="15" customHeight="1" collapsed="1" x14ac:dyDescent="0.25">
      <c r="A779" s="39" t="s">
        <v>11</v>
      </c>
      <c r="B779" s="46" t="s">
        <v>515</v>
      </c>
      <c r="C779" s="171"/>
      <c r="D779" s="47" t="s">
        <v>481</v>
      </c>
      <c r="E779" s="39"/>
      <c r="F779" s="39"/>
      <c r="G779" s="39" t="s">
        <v>567</v>
      </c>
      <c r="H779" s="24">
        <f>SUM(H772:H778)</f>
        <v>9243.17</v>
      </c>
      <c r="I779" s="24">
        <f t="shared" ref="I779:P779" si="201">SUM(I772:I778)</f>
        <v>10884.55</v>
      </c>
      <c r="J779" s="24">
        <f t="shared" si="201"/>
        <v>11170</v>
      </c>
      <c r="K779" s="24">
        <f t="shared" si="201"/>
        <v>11170</v>
      </c>
      <c r="L779" s="24">
        <f t="shared" si="201"/>
        <v>10864.8</v>
      </c>
      <c r="M779" s="24">
        <f t="shared" si="201"/>
        <v>9054.0000000000018</v>
      </c>
      <c r="N779" s="24">
        <f t="shared" si="201"/>
        <v>11310</v>
      </c>
      <c r="O779" s="24">
        <f t="shared" si="201"/>
        <v>11310</v>
      </c>
      <c r="P779" s="215">
        <f t="shared" si="201"/>
        <v>11310</v>
      </c>
    </row>
    <row r="780" spans="1:16" ht="15" hidden="1" customHeight="1" outlineLevel="1" collapsed="1" x14ac:dyDescent="0.25">
      <c r="A780" s="39" t="s">
        <v>11</v>
      </c>
      <c r="B780" s="46" t="s">
        <v>515</v>
      </c>
      <c r="C780" s="171"/>
      <c r="D780" s="47" t="s">
        <v>77</v>
      </c>
      <c r="E780" s="39" t="s">
        <v>17</v>
      </c>
      <c r="F780" s="39" t="s">
        <v>344</v>
      </c>
      <c r="G780" s="39" t="s">
        <v>79</v>
      </c>
      <c r="H780" s="42">
        <v>2059.5700000000002</v>
      </c>
      <c r="I780" s="42">
        <v>4442.42</v>
      </c>
      <c r="J780" s="42">
        <v>3000</v>
      </c>
      <c r="K780" s="42">
        <v>1000</v>
      </c>
      <c r="L780" s="42">
        <f t="shared" si="199"/>
        <v>466.18800000000005</v>
      </c>
      <c r="M780" s="42">
        <v>388.49</v>
      </c>
      <c r="N780" s="19">
        <v>500</v>
      </c>
      <c r="O780" s="42">
        <v>3000</v>
      </c>
      <c r="P780" s="203">
        <v>3000</v>
      </c>
    </row>
    <row r="781" spans="1:16" ht="15" hidden="1" customHeight="1" outlineLevel="1" x14ac:dyDescent="0.25">
      <c r="A781" s="39" t="s">
        <v>11</v>
      </c>
      <c r="B781" s="46" t="s">
        <v>515</v>
      </c>
      <c r="C781" s="171"/>
      <c r="D781" s="47" t="s">
        <v>80</v>
      </c>
      <c r="E781" s="39" t="s">
        <v>14</v>
      </c>
      <c r="F781" s="39" t="s">
        <v>344</v>
      </c>
      <c r="G781" s="39" t="s">
        <v>357</v>
      </c>
      <c r="H781" s="42">
        <v>275</v>
      </c>
      <c r="I781" s="42">
        <v>0</v>
      </c>
      <c r="J781" s="42">
        <v>0</v>
      </c>
      <c r="K781" s="42">
        <v>200</v>
      </c>
      <c r="L781" s="42">
        <f t="shared" si="199"/>
        <v>238.79999999999998</v>
      </c>
      <c r="M781" s="42">
        <v>199</v>
      </c>
      <c r="N781" s="42">
        <v>200</v>
      </c>
      <c r="O781" s="42">
        <f t="shared" ref="O781:O801" si="202">N781</f>
        <v>200</v>
      </c>
      <c r="P781" s="203">
        <f t="shared" ref="P781:P801" si="203">N781</f>
        <v>200</v>
      </c>
    </row>
    <row r="782" spans="1:16" ht="15" hidden="1" customHeight="1" outlineLevel="1" x14ac:dyDescent="0.25">
      <c r="A782" s="39" t="s">
        <v>11</v>
      </c>
      <c r="B782" s="46" t="s">
        <v>515</v>
      </c>
      <c r="C782" s="171"/>
      <c r="D782" s="47" t="s">
        <v>80</v>
      </c>
      <c r="E782" s="39" t="s">
        <v>17</v>
      </c>
      <c r="F782" s="39" t="s">
        <v>344</v>
      </c>
      <c r="G782" s="39" t="s">
        <v>357</v>
      </c>
      <c r="H782" s="42">
        <v>0</v>
      </c>
      <c r="I782" s="42">
        <v>550</v>
      </c>
      <c r="J782" s="42">
        <v>1000</v>
      </c>
      <c r="K782" s="42">
        <v>500</v>
      </c>
      <c r="L782" s="42">
        <f t="shared" si="199"/>
        <v>0</v>
      </c>
      <c r="M782" s="42">
        <v>0</v>
      </c>
      <c r="N782" s="42">
        <v>0</v>
      </c>
      <c r="O782" s="42">
        <f t="shared" si="202"/>
        <v>0</v>
      </c>
      <c r="P782" s="203">
        <f t="shared" si="203"/>
        <v>0</v>
      </c>
    </row>
    <row r="783" spans="1:16" ht="15" hidden="1" customHeight="1" outlineLevel="1" x14ac:dyDescent="0.25">
      <c r="A783" s="39" t="s">
        <v>11</v>
      </c>
      <c r="B783" s="46" t="s">
        <v>515</v>
      </c>
      <c r="C783" s="171"/>
      <c r="D783" s="47" t="s">
        <v>84</v>
      </c>
      <c r="E783" s="39" t="s">
        <v>17</v>
      </c>
      <c r="F783" s="39" t="s">
        <v>344</v>
      </c>
      <c r="G783" s="39" t="s">
        <v>359</v>
      </c>
      <c r="H783" s="42">
        <v>0</v>
      </c>
      <c r="I783" s="42">
        <v>0</v>
      </c>
      <c r="J783" s="42">
        <v>200</v>
      </c>
      <c r="K783" s="42">
        <v>200</v>
      </c>
      <c r="L783" s="42">
        <f t="shared" si="199"/>
        <v>0</v>
      </c>
      <c r="M783" s="42">
        <v>0</v>
      </c>
      <c r="N783" s="42">
        <v>0</v>
      </c>
      <c r="O783" s="42">
        <f t="shared" si="202"/>
        <v>0</v>
      </c>
      <c r="P783" s="203">
        <f t="shared" si="203"/>
        <v>0</v>
      </c>
    </row>
    <row r="784" spans="1:16" ht="15" hidden="1" customHeight="1" outlineLevel="1" x14ac:dyDescent="0.25">
      <c r="A784" s="39" t="s">
        <v>11</v>
      </c>
      <c r="B784" s="46" t="s">
        <v>515</v>
      </c>
      <c r="C784" s="171"/>
      <c r="D784" s="47" t="s">
        <v>88</v>
      </c>
      <c r="E784" s="39" t="s">
        <v>14</v>
      </c>
      <c r="F784" s="39" t="s">
        <v>344</v>
      </c>
      <c r="G784" s="39" t="s">
        <v>360</v>
      </c>
      <c r="H784" s="42">
        <v>2999.81</v>
      </c>
      <c r="I784" s="42">
        <v>3051.65</v>
      </c>
      <c r="J784" s="42">
        <v>2800</v>
      </c>
      <c r="K784" s="42">
        <v>1046.4000000000001</v>
      </c>
      <c r="L784" s="42">
        <f t="shared" si="199"/>
        <v>592.20000000000005</v>
      </c>
      <c r="M784" s="42">
        <v>493.5</v>
      </c>
      <c r="N784" s="19">
        <v>2000</v>
      </c>
      <c r="O784" s="42">
        <f t="shared" si="202"/>
        <v>2000</v>
      </c>
      <c r="P784" s="203">
        <f t="shared" si="203"/>
        <v>2000</v>
      </c>
    </row>
    <row r="785" spans="1:16" ht="15" hidden="1" customHeight="1" outlineLevel="1" x14ac:dyDescent="0.25">
      <c r="A785" s="39" t="s">
        <v>11</v>
      </c>
      <c r="B785" s="46" t="s">
        <v>515</v>
      </c>
      <c r="C785" s="171"/>
      <c r="D785" s="47" t="s">
        <v>88</v>
      </c>
      <c r="E785" s="39" t="s">
        <v>14</v>
      </c>
      <c r="F785" s="39" t="s">
        <v>344</v>
      </c>
      <c r="G785" s="39" t="s">
        <v>361</v>
      </c>
      <c r="H785" s="42">
        <v>663.47</v>
      </c>
      <c r="I785" s="42">
        <v>63.03</v>
      </c>
      <c r="J785" s="42">
        <v>200</v>
      </c>
      <c r="K785" s="42">
        <v>200</v>
      </c>
      <c r="L785" s="42">
        <f t="shared" si="199"/>
        <v>51.911999999999992</v>
      </c>
      <c r="M785" s="42">
        <v>43.26</v>
      </c>
      <c r="N785" s="42">
        <v>0</v>
      </c>
      <c r="O785" s="42">
        <f t="shared" si="202"/>
        <v>0</v>
      </c>
      <c r="P785" s="203">
        <f t="shared" si="203"/>
        <v>0</v>
      </c>
    </row>
    <row r="786" spans="1:16" ht="15" hidden="1" customHeight="1" outlineLevel="1" x14ac:dyDescent="0.25">
      <c r="A786" s="39" t="s">
        <v>11</v>
      </c>
      <c r="B786" s="46" t="s">
        <v>515</v>
      </c>
      <c r="C786" s="171"/>
      <c r="D786" s="47" t="s">
        <v>88</v>
      </c>
      <c r="E786" s="39" t="s">
        <v>17</v>
      </c>
      <c r="F786" s="39" t="s">
        <v>344</v>
      </c>
      <c r="G786" s="39" t="s">
        <v>363</v>
      </c>
      <c r="H786" s="42">
        <v>698.89</v>
      </c>
      <c r="I786" s="42">
        <v>754.09</v>
      </c>
      <c r="J786" s="42">
        <v>1200</v>
      </c>
      <c r="K786" s="42">
        <v>1175</v>
      </c>
      <c r="L786" s="42">
        <f t="shared" si="199"/>
        <v>519.67200000000003</v>
      </c>
      <c r="M786" s="42">
        <v>433.06</v>
      </c>
      <c r="N786" s="19">
        <v>500</v>
      </c>
      <c r="O786" s="42">
        <f t="shared" si="202"/>
        <v>500</v>
      </c>
      <c r="P786" s="203">
        <f t="shared" si="203"/>
        <v>500</v>
      </c>
    </row>
    <row r="787" spans="1:16" ht="15" hidden="1" customHeight="1" outlineLevel="1" x14ac:dyDescent="0.25">
      <c r="A787" s="39" t="s">
        <v>11</v>
      </c>
      <c r="B787" s="46" t="s">
        <v>515</v>
      </c>
      <c r="C787" s="171"/>
      <c r="D787" s="47" t="s">
        <v>88</v>
      </c>
      <c r="E787" s="39" t="s">
        <v>17</v>
      </c>
      <c r="F787" s="39" t="s">
        <v>344</v>
      </c>
      <c r="G787" s="39" t="s">
        <v>360</v>
      </c>
      <c r="H787" s="42">
        <v>985.57</v>
      </c>
      <c r="I787" s="42">
        <v>1404.2</v>
      </c>
      <c r="J787" s="42">
        <v>800</v>
      </c>
      <c r="K787" s="42">
        <v>800</v>
      </c>
      <c r="L787" s="42">
        <f t="shared" si="199"/>
        <v>767.22</v>
      </c>
      <c r="M787" s="42">
        <v>639.35</v>
      </c>
      <c r="N787" s="42">
        <v>600</v>
      </c>
      <c r="O787" s="42">
        <f t="shared" si="202"/>
        <v>600</v>
      </c>
      <c r="P787" s="203">
        <f t="shared" si="203"/>
        <v>600</v>
      </c>
    </row>
    <row r="788" spans="1:16" ht="15" hidden="1" customHeight="1" outlineLevel="1" x14ac:dyDescent="0.25">
      <c r="A788" s="39" t="s">
        <v>11</v>
      </c>
      <c r="B788" s="46" t="s">
        <v>515</v>
      </c>
      <c r="C788" s="171"/>
      <c r="D788" s="47" t="s">
        <v>88</v>
      </c>
      <c r="E788" s="39" t="s">
        <v>17</v>
      </c>
      <c r="F788" s="39" t="s">
        <v>344</v>
      </c>
      <c r="G788" s="39" t="s">
        <v>364</v>
      </c>
      <c r="H788" s="42">
        <v>0</v>
      </c>
      <c r="I788" s="42">
        <v>521.66</v>
      </c>
      <c r="J788" s="42">
        <v>800</v>
      </c>
      <c r="K788" s="42">
        <v>800</v>
      </c>
      <c r="L788" s="42">
        <f t="shared" si="199"/>
        <v>817.89599999999996</v>
      </c>
      <c r="M788" s="42">
        <v>681.58</v>
      </c>
      <c r="N788" s="42">
        <v>600</v>
      </c>
      <c r="O788" s="42">
        <f t="shared" si="202"/>
        <v>600</v>
      </c>
      <c r="P788" s="203">
        <f t="shared" si="203"/>
        <v>600</v>
      </c>
    </row>
    <row r="789" spans="1:16" ht="15" hidden="1" customHeight="1" outlineLevel="1" x14ac:dyDescent="0.25">
      <c r="A789" s="39" t="s">
        <v>11</v>
      </c>
      <c r="B789" s="46" t="s">
        <v>515</v>
      </c>
      <c r="C789" s="171"/>
      <c r="D789" s="47" t="s">
        <v>101</v>
      </c>
      <c r="E789" s="39" t="s">
        <v>14</v>
      </c>
      <c r="F789" s="39" t="s">
        <v>344</v>
      </c>
      <c r="G789" s="39" t="s">
        <v>367</v>
      </c>
      <c r="H789" s="42">
        <v>99.6</v>
      </c>
      <c r="I789" s="42">
        <v>132.80000000000001</v>
      </c>
      <c r="J789" s="42">
        <v>100</v>
      </c>
      <c r="K789" s="42">
        <v>100</v>
      </c>
      <c r="L789" s="42">
        <f t="shared" si="199"/>
        <v>139.44</v>
      </c>
      <c r="M789" s="42">
        <v>116.2</v>
      </c>
      <c r="N789" s="42">
        <v>0</v>
      </c>
      <c r="O789" s="42">
        <f t="shared" si="202"/>
        <v>0</v>
      </c>
      <c r="P789" s="203">
        <f t="shared" si="203"/>
        <v>0</v>
      </c>
    </row>
    <row r="790" spans="1:16" ht="15" hidden="1" customHeight="1" outlineLevel="1" x14ac:dyDescent="0.25">
      <c r="A790" s="39" t="s">
        <v>11</v>
      </c>
      <c r="B790" s="46" t="s">
        <v>515</v>
      </c>
      <c r="C790" s="171"/>
      <c r="D790" s="47" t="s">
        <v>101</v>
      </c>
      <c r="E790" s="39" t="s">
        <v>14</v>
      </c>
      <c r="F790" s="39" t="s">
        <v>344</v>
      </c>
      <c r="G790" s="39" t="s">
        <v>368</v>
      </c>
      <c r="H790" s="42">
        <v>67.45</v>
      </c>
      <c r="I790" s="42">
        <v>416.18</v>
      </c>
      <c r="J790" s="42">
        <v>1900</v>
      </c>
      <c r="K790" s="42">
        <v>1900</v>
      </c>
      <c r="L790" s="42">
        <f t="shared" si="199"/>
        <v>28.08</v>
      </c>
      <c r="M790" s="42">
        <v>23.4</v>
      </c>
      <c r="N790" s="42">
        <v>1000</v>
      </c>
      <c r="O790" s="42">
        <f t="shared" si="202"/>
        <v>1000</v>
      </c>
      <c r="P790" s="203">
        <f t="shared" si="203"/>
        <v>1000</v>
      </c>
    </row>
    <row r="791" spans="1:16" ht="15" hidden="1" customHeight="1" outlineLevel="1" x14ac:dyDescent="0.25">
      <c r="A791" s="39" t="s">
        <v>11</v>
      </c>
      <c r="B791" s="46" t="s">
        <v>515</v>
      </c>
      <c r="C791" s="171"/>
      <c r="D791" s="47" t="s">
        <v>101</v>
      </c>
      <c r="E791" s="39" t="s">
        <v>17</v>
      </c>
      <c r="F791" s="39" t="s">
        <v>344</v>
      </c>
      <c r="G791" s="39" t="s">
        <v>102</v>
      </c>
      <c r="H791" s="42">
        <v>0</v>
      </c>
      <c r="I791" s="42">
        <v>573.78</v>
      </c>
      <c r="J791" s="42">
        <v>0</v>
      </c>
      <c r="K791" s="42">
        <v>0</v>
      </c>
      <c r="L791" s="42">
        <f t="shared" si="199"/>
        <v>0</v>
      </c>
      <c r="M791" s="42">
        <v>0</v>
      </c>
      <c r="N791" s="24">
        <v>0</v>
      </c>
      <c r="O791" s="42">
        <f t="shared" si="202"/>
        <v>0</v>
      </c>
      <c r="P791" s="203">
        <f t="shared" si="203"/>
        <v>0</v>
      </c>
    </row>
    <row r="792" spans="1:16" ht="15" hidden="1" customHeight="1" outlineLevel="1" x14ac:dyDescent="0.25">
      <c r="A792" s="39" t="s">
        <v>11</v>
      </c>
      <c r="B792" s="46" t="s">
        <v>515</v>
      </c>
      <c r="C792" s="171"/>
      <c r="D792" s="47" t="s">
        <v>103</v>
      </c>
      <c r="E792" s="39" t="s">
        <v>17</v>
      </c>
      <c r="F792" s="39" t="s">
        <v>344</v>
      </c>
      <c r="G792" s="39" t="s">
        <v>371</v>
      </c>
      <c r="H792" s="42">
        <v>413.83</v>
      </c>
      <c r="I792" s="42">
        <v>405.8</v>
      </c>
      <c r="J792" s="42">
        <v>600</v>
      </c>
      <c r="K792" s="42">
        <v>600</v>
      </c>
      <c r="L792" s="42">
        <f t="shared" si="199"/>
        <v>97.08</v>
      </c>
      <c r="M792" s="42">
        <v>80.900000000000006</v>
      </c>
      <c r="N792" s="19">
        <v>400</v>
      </c>
      <c r="O792" s="42">
        <f t="shared" si="202"/>
        <v>400</v>
      </c>
      <c r="P792" s="203">
        <f t="shared" si="203"/>
        <v>400</v>
      </c>
    </row>
    <row r="793" spans="1:16" ht="15" hidden="1" customHeight="1" outlineLevel="1" x14ac:dyDescent="0.25">
      <c r="A793" s="39" t="s">
        <v>11</v>
      </c>
      <c r="B793" s="46" t="s">
        <v>515</v>
      </c>
      <c r="C793" s="171"/>
      <c r="D793" s="47" t="s">
        <v>105</v>
      </c>
      <c r="E793" s="39" t="s">
        <v>17</v>
      </c>
      <c r="F793" s="39" t="s">
        <v>344</v>
      </c>
      <c r="G793" s="39" t="s">
        <v>106</v>
      </c>
      <c r="H793" s="42">
        <v>21.42</v>
      </c>
      <c r="I793" s="42">
        <v>888.13</v>
      </c>
      <c r="J793" s="42">
        <v>0</v>
      </c>
      <c r="K793" s="42">
        <v>25</v>
      </c>
      <c r="L793" s="42">
        <f t="shared" si="199"/>
        <v>25.704000000000004</v>
      </c>
      <c r="M793" s="42">
        <v>21.42</v>
      </c>
      <c r="N793" s="42">
        <v>25</v>
      </c>
      <c r="O793" s="42">
        <f t="shared" si="202"/>
        <v>25</v>
      </c>
      <c r="P793" s="203">
        <f t="shared" si="203"/>
        <v>25</v>
      </c>
    </row>
    <row r="794" spans="1:16" ht="15" hidden="1" customHeight="1" outlineLevel="1" x14ac:dyDescent="0.25">
      <c r="A794" s="39"/>
      <c r="B794" s="46"/>
      <c r="C794" s="171"/>
      <c r="D794" s="47" t="s">
        <v>372</v>
      </c>
      <c r="E794" s="39" t="s">
        <v>17</v>
      </c>
      <c r="F794" s="39" t="s">
        <v>344</v>
      </c>
      <c r="G794" s="39" t="s">
        <v>373</v>
      </c>
      <c r="H794" s="42">
        <v>25.57</v>
      </c>
      <c r="I794" s="42">
        <v>16.75</v>
      </c>
      <c r="J794" s="42">
        <v>100</v>
      </c>
      <c r="K794" s="42">
        <v>100</v>
      </c>
      <c r="L794" s="42">
        <f t="shared" si="199"/>
        <v>17.015999999999998</v>
      </c>
      <c r="M794" s="42">
        <v>14.18</v>
      </c>
      <c r="N794" s="42">
        <v>25</v>
      </c>
      <c r="O794" s="42">
        <f t="shared" si="202"/>
        <v>25</v>
      </c>
      <c r="P794" s="203">
        <f t="shared" si="203"/>
        <v>25</v>
      </c>
    </row>
    <row r="795" spans="1:16" ht="15" customHeight="1" collapsed="1" x14ac:dyDescent="0.25">
      <c r="A795" s="39" t="s">
        <v>11</v>
      </c>
      <c r="B795" s="46" t="s">
        <v>515</v>
      </c>
      <c r="C795" s="171"/>
      <c r="D795" s="47" t="s">
        <v>470</v>
      </c>
      <c r="E795" s="39"/>
      <c r="F795" s="39"/>
      <c r="G795" s="39" t="s">
        <v>471</v>
      </c>
      <c r="H795" s="24">
        <f>SUM(H780:H794)</f>
        <v>8310.18</v>
      </c>
      <c r="I795" s="24">
        <f t="shared" ref="I795:P795" si="204">SUM(I780:I794)</f>
        <v>13220.489999999998</v>
      </c>
      <c r="J795" s="24">
        <f t="shared" si="204"/>
        <v>12700</v>
      </c>
      <c r="K795" s="24">
        <f t="shared" si="204"/>
        <v>8646.4</v>
      </c>
      <c r="L795" s="24">
        <f t="shared" si="204"/>
        <v>3761.2080000000001</v>
      </c>
      <c r="M795" s="24">
        <f t="shared" si="204"/>
        <v>3134.3399999999997</v>
      </c>
      <c r="N795" s="24">
        <f t="shared" si="204"/>
        <v>5850</v>
      </c>
      <c r="O795" s="24">
        <f t="shared" si="204"/>
        <v>8350</v>
      </c>
      <c r="P795" s="215">
        <f t="shared" si="204"/>
        <v>8350</v>
      </c>
    </row>
    <row r="796" spans="1:16" ht="15" hidden="1" customHeight="1" outlineLevel="1" collapsed="1" x14ac:dyDescent="0.25">
      <c r="A796" s="39" t="s">
        <v>11</v>
      </c>
      <c r="B796" s="46" t="s">
        <v>515</v>
      </c>
      <c r="C796" s="171"/>
      <c r="D796" s="47" t="s">
        <v>207</v>
      </c>
      <c r="E796" s="39" t="s">
        <v>14</v>
      </c>
      <c r="F796" s="39" t="s">
        <v>344</v>
      </c>
      <c r="G796" s="39" t="s">
        <v>374</v>
      </c>
      <c r="H796" s="42">
        <v>31.52</v>
      </c>
      <c r="I796" s="42">
        <v>0</v>
      </c>
      <c r="J796" s="42">
        <v>0</v>
      </c>
      <c r="K796" s="42">
        <v>120</v>
      </c>
      <c r="L796" s="42">
        <f t="shared" si="199"/>
        <v>141.12</v>
      </c>
      <c r="M796" s="42">
        <v>117.6</v>
      </c>
      <c r="N796" s="42">
        <v>0</v>
      </c>
      <c r="O796" s="42">
        <f t="shared" si="202"/>
        <v>0</v>
      </c>
      <c r="P796" s="203">
        <f t="shared" si="203"/>
        <v>0</v>
      </c>
    </row>
    <row r="797" spans="1:16" ht="15" hidden="1" customHeight="1" outlineLevel="1" x14ac:dyDescent="0.25">
      <c r="A797" s="39"/>
      <c r="B797" s="46"/>
      <c r="C797" s="171"/>
      <c r="D797" s="47" t="s">
        <v>207</v>
      </c>
      <c r="E797" s="39" t="s">
        <v>17</v>
      </c>
      <c r="F797" s="39" t="s">
        <v>344</v>
      </c>
      <c r="G797" s="39" t="s">
        <v>374</v>
      </c>
      <c r="H797" s="42">
        <v>0</v>
      </c>
      <c r="I797" s="42">
        <v>0</v>
      </c>
      <c r="J797" s="42">
        <v>0</v>
      </c>
      <c r="K797" s="42">
        <v>0</v>
      </c>
      <c r="L797" s="42">
        <f t="shared" si="199"/>
        <v>0</v>
      </c>
      <c r="M797" s="42">
        <v>0</v>
      </c>
      <c r="N797" s="42">
        <v>0</v>
      </c>
      <c r="O797" s="42">
        <f t="shared" si="202"/>
        <v>0</v>
      </c>
      <c r="P797" s="203">
        <f t="shared" si="203"/>
        <v>0</v>
      </c>
    </row>
    <row r="798" spans="1:16" ht="15" customHeight="1" collapsed="1" x14ac:dyDescent="0.25">
      <c r="A798" s="39" t="s">
        <v>11</v>
      </c>
      <c r="B798" s="46" t="s">
        <v>515</v>
      </c>
      <c r="C798" s="171"/>
      <c r="D798" s="47" t="s">
        <v>590</v>
      </c>
      <c r="E798" s="39"/>
      <c r="F798" s="39"/>
      <c r="G798" s="39" t="s">
        <v>374</v>
      </c>
      <c r="H798" s="24">
        <f>SUM(H796:H797)</f>
        <v>31.52</v>
      </c>
      <c r="I798" s="24">
        <f t="shared" ref="I798:P798" si="205">SUM(I796:I797)</f>
        <v>0</v>
      </c>
      <c r="J798" s="24">
        <f t="shared" si="205"/>
        <v>0</v>
      </c>
      <c r="K798" s="24">
        <f t="shared" si="205"/>
        <v>120</v>
      </c>
      <c r="L798" s="24">
        <f t="shared" si="205"/>
        <v>141.12</v>
      </c>
      <c r="M798" s="24">
        <f t="shared" si="205"/>
        <v>117.6</v>
      </c>
      <c r="N798" s="24">
        <f t="shared" si="205"/>
        <v>0</v>
      </c>
      <c r="O798" s="24">
        <f t="shared" si="205"/>
        <v>0</v>
      </c>
      <c r="P798" s="215">
        <f t="shared" si="205"/>
        <v>0</v>
      </c>
    </row>
    <row r="799" spans="1:16" ht="15" hidden="1" customHeight="1" outlineLevel="1" collapsed="1" x14ac:dyDescent="0.25">
      <c r="A799" s="39" t="s">
        <v>11</v>
      </c>
      <c r="B799" s="46" t="s">
        <v>515</v>
      </c>
      <c r="C799" s="171"/>
      <c r="D799" s="47" t="s">
        <v>110</v>
      </c>
      <c r="E799" s="39" t="s">
        <v>17</v>
      </c>
      <c r="F799" s="39" t="s">
        <v>344</v>
      </c>
      <c r="G799" s="39" t="s">
        <v>375</v>
      </c>
      <c r="H799" s="42">
        <v>0</v>
      </c>
      <c r="I799" s="42">
        <v>0</v>
      </c>
      <c r="J799" s="42">
        <v>500</v>
      </c>
      <c r="K799" s="42">
        <v>300</v>
      </c>
      <c r="L799" s="42">
        <f t="shared" si="199"/>
        <v>0</v>
      </c>
      <c r="M799" s="42">
        <v>0</v>
      </c>
      <c r="N799" s="42">
        <v>0</v>
      </c>
      <c r="O799" s="42">
        <f t="shared" si="202"/>
        <v>0</v>
      </c>
      <c r="P799" s="203">
        <f t="shared" si="203"/>
        <v>0</v>
      </c>
    </row>
    <row r="800" spans="1:16" ht="15" hidden="1" customHeight="1" outlineLevel="1" x14ac:dyDescent="0.25">
      <c r="A800" s="39" t="s">
        <v>11</v>
      </c>
      <c r="B800" s="46" t="s">
        <v>515</v>
      </c>
      <c r="C800" s="171"/>
      <c r="D800" s="47" t="s">
        <v>112</v>
      </c>
      <c r="E800" s="39" t="s">
        <v>14</v>
      </c>
      <c r="F800" s="39" t="s">
        <v>344</v>
      </c>
      <c r="G800" s="39" t="s">
        <v>376</v>
      </c>
      <c r="H800" s="42">
        <v>459.6</v>
      </c>
      <c r="I800" s="42">
        <v>109</v>
      </c>
      <c r="J800" s="42">
        <v>200</v>
      </c>
      <c r="K800" s="42">
        <v>100</v>
      </c>
      <c r="L800" s="42">
        <f t="shared" si="199"/>
        <v>0</v>
      </c>
      <c r="M800" s="42">
        <v>0</v>
      </c>
      <c r="N800" s="19">
        <v>60</v>
      </c>
      <c r="O800" s="42">
        <f t="shared" si="202"/>
        <v>60</v>
      </c>
      <c r="P800" s="203">
        <f t="shared" si="203"/>
        <v>60</v>
      </c>
    </row>
    <row r="801" spans="1:16" ht="15" hidden="1" customHeight="1" outlineLevel="1" x14ac:dyDescent="0.25">
      <c r="A801" s="39" t="s">
        <v>11</v>
      </c>
      <c r="B801" s="46" t="s">
        <v>515</v>
      </c>
      <c r="C801" s="171"/>
      <c r="D801" s="47" t="s">
        <v>114</v>
      </c>
      <c r="E801" s="39" t="s">
        <v>17</v>
      </c>
      <c r="F801" s="39" t="s">
        <v>344</v>
      </c>
      <c r="G801" s="39" t="s">
        <v>115</v>
      </c>
      <c r="H801" s="42">
        <v>384</v>
      </c>
      <c r="I801" s="42">
        <v>12190.29</v>
      </c>
      <c r="J801" s="42">
        <v>800</v>
      </c>
      <c r="K801" s="42">
        <v>100</v>
      </c>
      <c r="L801" s="42">
        <f t="shared" si="199"/>
        <v>21.6</v>
      </c>
      <c r="M801" s="42">
        <v>18</v>
      </c>
      <c r="N801" s="42">
        <v>150</v>
      </c>
      <c r="O801" s="42">
        <f t="shared" si="202"/>
        <v>150</v>
      </c>
      <c r="P801" s="203">
        <f t="shared" si="203"/>
        <v>150</v>
      </c>
    </row>
    <row r="802" spans="1:16" ht="15" hidden="1" customHeight="1" outlineLevel="1" x14ac:dyDescent="0.25">
      <c r="A802" s="39"/>
      <c r="B802" s="46"/>
      <c r="C802" s="171"/>
      <c r="D802" s="47" t="s">
        <v>116</v>
      </c>
      <c r="E802" s="39" t="s">
        <v>17</v>
      </c>
      <c r="F802" s="39" t="s">
        <v>344</v>
      </c>
      <c r="G802" s="39" t="s">
        <v>379</v>
      </c>
      <c r="H802" s="42">
        <f>87.6+86.34</f>
        <v>173.94</v>
      </c>
      <c r="I802" s="42">
        <v>0</v>
      </c>
      <c r="J802" s="42">
        <v>20000</v>
      </c>
      <c r="K802" s="42">
        <v>515.70000000000005</v>
      </c>
      <c r="L802" s="42">
        <f t="shared" si="199"/>
        <v>108</v>
      </c>
      <c r="M802" s="42">
        <v>90</v>
      </c>
      <c r="N802" s="19">
        <v>500</v>
      </c>
      <c r="O802" s="42">
        <v>500</v>
      </c>
      <c r="P802" s="203">
        <v>500</v>
      </c>
    </row>
    <row r="803" spans="1:16" ht="15" customHeight="1" collapsed="1" x14ac:dyDescent="0.25">
      <c r="A803" s="39" t="s">
        <v>11</v>
      </c>
      <c r="B803" s="46" t="s">
        <v>515</v>
      </c>
      <c r="C803" s="171"/>
      <c r="D803" s="47" t="s">
        <v>473</v>
      </c>
      <c r="E803" s="39"/>
      <c r="F803" s="39"/>
      <c r="G803" s="39" t="s">
        <v>568</v>
      </c>
      <c r="H803" s="24">
        <f>SUM(H799:H802)</f>
        <v>1017.54</v>
      </c>
      <c r="I803" s="24">
        <f t="shared" ref="I803:P803" si="206">SUM(I799:I802)</f>
        <v>12299.29</v>
      </c>
      <c r="J803" s="24">
        <f t="shared" si="206"/>
        <v>21500</v>
      </c>
      <c r="K803" s="24">
        <f t="shared" si="206"/>
        <v>1015.7</v>
      </c>
      <c r="L803" s="24">
        <f t="shared" si="206"/>
        <v>129.6</v>
      </c>
      <c r="M803" s="24">
        <f t="shared" si="206"/>
        <v>108</v>
      </c>
      <c r="N803" s="24">
        <f t="shared" si="206"/>
        <v>710</v>
      </c>
      <c r="O803" s="24">
        <f t="shared" si="206"/>
        <v>710</v>
      </c>
      <c r="P803" s="215">
        <f t="shared" si="206"/>
        <v>710</v>
      </c>
    </row>
    <row r="804" spans="1:16" ht="15" hidden="1" customHeight="1" outlineLevel="1" collapsed="1" x14ac:dyDescent="0.25">
      <c r="A804" s="39" t="s">
        <v>11</v>
      </c>
      <c r="B804" s="46" t="s">
        <v>515</v>
      </c>
      <c r="C804" s="171"/>
      <c r="D804" s="47" t="s">
        <v>128</v>
      </c>
      <c r="E804" s="39" t="s">
        <v>17</v>
      </c>
      <c r="F804" s="39" t="s">
        <v>344</v>
      </c>
      <c r="G804" s="39" t="s">
        <v>381</v>
      </c>
      <c r="H804" s="42">
        <v>340</v>
      </c>
      <c r="I804" s="42">
        <v>40</v>
      </c>
      <c r="J804" s="42">
        <v>400</v>
      </c>
      <c r="K804" s="42">
        <v>400</v>
      </c>
      <c r="L804" s="42">
        <f t="shared" si="199"/>
        <v>44.304000000000002</v>
      </c>
      <c r="M804" s="42">
        <v>36.92</v>
      </c>
      <c r="N804" s="42">
        <v>200</v>
      </c>
      <c r="O804" s="42">
        <f t="shared" ref="O804:O865" si="207">N804</f>
        <v>200</v>
      </c>
      <c r="P804" s="203">
        <f t="shared" ref="P804:P865" si="208">N804</f>
        <v>200</v>
      </c>
    </row>
    <row r="805" spans="1:16" ht="15" hidden="1" customHeight="1" outlineLevel="1" x14ac:dyDescent="0.25">
      <c r="A805" s="39" t="s">
        <v>11</v>
      </c>
      <c r="B805" s="46" t="s">
        <v>515</v>
      </c>
      <c r="C805" s="171"/>
      <c r="D805" s="47" t="s">
        <v>135</v>
      </c>
      <c r="E805" s="39" t="s">
        <v>17</v>
      </c>
      <c r="F805" s="39" t="s">
        <v>344</v>
      </c>
      <c r="G805" s="39" t="s">
        <v>383</v>
      </c>
      <c r="H805" s="42">
        <v>365.72</v>
      </c>
      <c r="I805" s="42">
        <v>1529.02</v>
      </c>
      <c r="J805" s="42">
        <v>800</v>
      </c>
      <c r="K805" s="42">
        <v>800</v>
      </c>
      <c r="L805" s="42">
        <f t="shared" si="199"/>
        <v>449.13599999999997</v>
      </c>
      <c r="M805" s="42">
        <v>374.28</v>
      </c>
      <c r="N805" s="42">
        <v>600</v>
      </c>
      <c r="O805" s="42">
        <f t="shared" si="207"/>
        <v>600</v>
      </c>
      <c r="P805" s="203">
        <f t="shared" si="208"/>
        <v>600</v>
      </c>
    </row>
    <row r="806" spans="1:16" ht="15" hidden="1" customHeight="1" outlineLevel="1" x14ac:dyDescent="0.25">
      <c r="A806" s="39" t="s">
        <v>11</v>
      </c>
      <c r="B806" s="46" t="s">
        <v>515</v>
      </c>
      <c r="C806" s="171"/>
      <c r="D806" s="47" t="s">
        <v>137</v>
      </c>
      <c r="E806" s="39" t="s">
        <v>17</v>
      </c>
      <c r="F806" s="39" t="s">
        <v>344</v>
      </c>
      <c r="G806" s="39" t="s">
        <v>385</v>
      </c>
      <c r="H806" s="42">
        <v>45</v>
      </c>
      <c r="I806" s="42">
        <v>10</v>
      </c>
      <c r="J806" s="42">
        <v>100</v>
      </c>
      <c r="K806" s="42">
        <v>100</v>
      </c>
      <c r="L806" s="42">
        <v>10</v>
      </c>
      <c r="M806" s="42">
        <v>10</v>
      </c>
      <c r="N806" s="42">
        <v>0</v>
      </c>
      <c r="O806" s="42">
        <f t="shared" si="207"/>
        <v>0</v>
      </c>
      <c r="P806" s="203">
        <f t="shared" si="208"/>
        <v>0</v>
      </c>
    </row>
    <row r="807" spans="1:16" ht="15" hidden="1" customHeight="1" outlineLevel="1" x14ac:dyDescent="0.25">
      <c r="A807" s="39" t="s">
        <v>11</v>
      </c>
      <c r="B807" s="46" t="s">
        <v>515</v>
      </c>
      <c r="C807" s="171"/>
      <c r="D807" s="47" t="s">
        <v>151</v>
      </c>
      <c r="E807" s="39" t="s">
        <v>17</v>
      </c>
      <c r="F807" s="39" t="s">
        <v>344</v>
      </c>
      <c r="G807" s="39" t="s">
        <v>386</v>
      </c>
      <c r="H807" s="42">
        <v>1183.76</v>
      </c>
      <c r="I807" s="42">
        <v>3529.9</v>
      </c>
      <c r="J807" s="42">
        <v>3500</v>
      </c>
      <c r="K807" s="42">
        <v>3500</v>
      </c>
      <c r="L807" s="42">
        <f>M807/10*12</f>
        <v>3314.5199999999995</v>
      </c>
      <c r="M807" s="42">
        <v>2762.1</v>
      </c>
      <c r="N807" s="42">
        <v>3300</v>
      </c>
      <c r="O807" s="42">
        <f t="shared" si="207"/>
        <v>3300</v>
      </c>
      <c r="P807" s="203">
        <f t="shared" si="208"/>
        <v>3300</v>
      </c>
    </row>
    <row r="808" spans="1:16" ht="15" hidden="1" customHeight="1" outlineLevel="1" x14ac:dyDescent="0.25">
      <c r="A808" s="39" t="s">
        <v>11</v>
      </c>
      <c r="B808" s="46" t="s">
        <v>515</v>
      </c>
      <c r="C808" s="171"/>
      <c r="D808" s="47" t="s">
        <v>153</v>
      </c>
      <c r="E808" s="39" t="s">
        <v>17</v>
      </c>
      <c r="F808" s="39" t="s">
        <v>344</v>
      </c>
      <c r="G808" s="39" t="s">
        <v>389</v>
      </c>
      <c r="H808" s="42">
        <v>225</v>
      </c>
      <c r="I808" s="42">
        <v>164.74</v>
      </c>
      <c r="J808" s="42">
        <v>200</v>
      </c>
      <c r="K808" s="42">
        <v>200</v>
      </c>
      <c r="L808" s="42">
        <v>132.97</v>
      </c>
      <c r="M808" s="42">
        <v>132.97</v>
      </c>
      <c r="N808" s="42">
        <v>150</v>
      </c>
      <c r="O808" s="42">
        <f t="shared" si="207"/>
        <v>150</v>
      </c>
      <c r="P808" s="203">
        <f t="shared" si="208"/>
        <v>150</v>
      </c>
    </row>
    <row r="809" spans="1:16" ht="15" hidden="1" customHeight="1" outlineLevel="1" x14ac:dyDescent="0.25">
      <c r="A809" s="39"/>
      <c r="B809" s="46" t="s">
        <v>515</v>
      </c>
      <c r="C809" s="171"/>
      <c r="D809" s="47" t="s">
        <v>153</v>
      </c>
      <c r="E809" s="39" t="s">
        <v>17</v>
      </c>
      <c r="F809" s="39" t="s">
        <v>344</v>
      </c>
      <c r="G809" s="39" t="s">
        <v>390</v>
      </c>
      <c r="H809" s="42">
        <v>99.72</v>
      </c>
      <c r="I809" s="42">
        <v>120.66</v>
      </c>
      <c r="J809" s="42">
        <v>100</v>
      </c>
      <c r="K809" s="42">
        <v>100</v>
      </c>
      <c r="L809" s="42">
        <v>76.599999999999994</v>
      </c>
      <c r="M809" s="42">
        <v>76.599999999999994</v>
      </c>
      <c r="N809" s="42">
        <v>100</v>
      </c>
      <c r="O809" s="42">
        <f t="shared" si="207"/>
        <v>100</v>
      </c>
      <c r="P809" s="203">
        <f t="shared" si="208"/>
        <v>100</v>
      </c>
    </row>
    <row r="810" spans="1:16" ht="15" hidden="1" customHeight="1" outlineLevel="1" x14ac:dyDescent="0.25">
      <c r="A810" s="39" t="s">
        <v>11</v>
      </c>
      <c r="B810" s="46" t="s">
        <v>515</v>
      </c>
      <c r="C810" s="171"/>
      <c r="D810" s="47" t="s">
        <v>151</v>
      </c>
      <c r="E810" s="39" t="s">
        <v>17</v>
      </c>
      <c r="F810" s="39" t="s">
        <v>344</v>
      </c>
      <c r="G810" s="39" t="s">
        <v>562</v>
      </c>
      <c r="H810" s="42">
        <v>1729.44</v>
      </c>
      <c r="I810" s="42">
        <v>0</v>
      </c>
      <c r="J810" s="42">
        <v>0</v>
      </c>
      <c r="K810" s="42">
        <v>0</v>
      </c>
      <c r="L810" s="42">
        <v>0</v>
      </c>
      <c r="M810" s="42">
        <v>0</v>
      </c>
      <c r="N810" s="42">
        <v>0</v>
      </c>
      <c r="O810" s="42">
        <f t="shared" si="207"/>
        <v>0</v>
      </c>
      <c r="P810" s="203">
        <f t="shared" si="208"/>
        <v>0</v>
      </c>
    </row>
    <row r="811" spans="1:16" ht="15" hidden="1" customHeight="1" outlineLevel="1" x14ac:dyDescent="0.25">
      <c r="A811" s="39"/>
      <c r="B811" s="46"/>
      <c r="C811" s="171"/>
      <c r="D811" s="47" t="s">
        <v>155</v>
      </c>
      <c r="E811" s="39" t="s">
        <v>17</v>
      </c>
      <c r="F811" s="39" t="s">
        <v>344</v>
      </c>
      <c r="G811" s="39" t="s">
        <v>392</v>
      </c>
      <c r="H811" s="42">
        <f>1627.87+6.88</f>
        <v>1634.75</v>
      </c>
      <c r="I811" s="42">
        <v>1929.56</v>
      </c>
      <c r="J811" s="42">
        <v>2320</v>
      </c>
      <c r="K811" s="42">
        <v>1320</v>
      </c>
      <c r="L811" s="42">
        <v>1568.35</v>
      </c>
      <c r="M811" s="42">
        <v>1190.3499999999999</v>
      </c>
      <c r="N811" s="42">
        <v>1700</v>
      </c>
      <c r="O811" s="42">
        <f t="shared" si="207"/>
        <v>1700</v>
      </c>
      <c r="P811" s="203">
        <f t="shared" si="208"/>
        <v>1700</v>
      </c>
    </row>
    <row r="812" spans="1:16" ht="15" customHeight="1" collapsed="1" thickBot="1" x14ac:dyDescent="0.3">
      <c r="A812" s="39"/>
      <c r="B812" s="46"/>
      <c r="C812" s="171"/>
      <c r="D812" s="47" t="s">
        <v>478</v>
      </c>
      <c r="E812" s="39"/>
      <c r="F812" s="39"/>
      <c r="G812" s="39" t="s">
        <v>479</v>
      </c>
      <c r="H812" s="24">
        <f>SUM(H804:H811)</f>
        <v>5623.3899999999994</v>
      </c>
      <c r="I812" s="24">
        <f t="shared" ref="I812:P812" si="209">SUM(I804:I811)</f>
        <v>7323.8799999999992</v>
      </c>
      <c r="J812" s="24">
        <f t="shared" si="209"/>
        <v>7420</v>
      </c>
      <c r="K812" s="24">
        <f t="shared" si="209"/>
        <v>6420</v>
      </c>
      <c r="L812" s="24">
        <f t="shared" si="209"/>
        <v>5595.8799999999992</v>
      </c>
      <c r="M812" s="24">
        <f t="shared" si="209"/>
        <v>4583.2199999999993</v>
      </c>
      <c r="N812" s="24">
        <f t="shared" si="209"/>
        <v>6050</v>
      </c>
      <c r="O812" s="24">
        <f t="shared" si="209"/>
        <v>6050</v>
      </c>
      <c r="P812" s="215">
        <f t="shared" si="209"/>
        <v>6050</v>
      </c>
    </row>
    <row r="813" spans="1:16" ht="15.75" collapsed="1" thickBot="1" x14ac:dyDescent="0.3">
      <c r="A813" s="39"/>
      <c r="B813" s="46"/>
      <c r="C813" s="171"/>
      <c r="D813" s="60" t="s">
        <v>593</v>
      </c>
      <c r="E813" s="76"/>
      <c r="F813" s="76"/>
      <c r="G813" s="61" t="s">
        <v>662</v>
      </c>
      <c r="H813" s="62">
        <f>H812+H803+H798+H795+H779+H771+H769+H751</f>
        <v>226569.53999999998</v>
      </c>
      <c r="I813" s="62">
        <f t="shared" ref="I813:P813" si="210">I812+I803+I798+I795+I779+I771+I769+I751</f>
        <v>263696.31999999995</v>
      </c>
      <c r="J813" s="62">
        <f t="shared" si="210"/>
        <v>305342</v>
      </c>
      <c r="K813" s="62">
        <f t="shared" si="210"/>
        <v>269305.09999999998</v>
      </c>
      <c r="L813" s="62">
        <f t="shared" si="210"/>
        <v>263345.36800000002</v>
      </c>
      <c r="M813" s="62">
        <f t="shared" si="210"/>
        <v>207342.2</v>
      </c>
      <c r="N813" s="62">
        <f t="shared" si="210"/>
        <v>307530</v>
      </c>
      <c r="O813" s="62">
        <f t="shared" si="210"/>
        <v>310030</v>
      </c>
      <c r="P813" s="63">
        <f t="shared" si="210"/>
        <v>310030</v>
      </c>
    </row>
    <row r="814" spans="1:16" hidden="1" outlineLevel="1" x14ac:dyDescent="0.25">
      <c r="A814" s="39" t="s">
        <v>11</v>
      </c>
      <c r="B814" s="46" t="s">
        <v>516</v>
      </c>
      <c r="C814" s="171"/>
      <c r="D814" s="58" t="s">
        <v>13</v>
      </c>
      <c r="E814" s="40" t="s">
        <v>14</v>
      </c>
      <c r="F814" s="40" t="s">
        <v>345</v>
      </c>
      <c r="G814" s="40" t="s">
        <v>19</v>
      </c>
      <c r="H814" s="41">
        <v>1152</v>
      </c>
      <c r="I814" s="41">
        <v>1088.75</v>
      </c>
      <c r="J814" s="41">
        <v>500</v>
      </c>
      <c r="K814" s="41">
        <v>500</v>
      </c>
      <c r="L814" s="41">
        <v>500</v>
      </c>
      <c r="M814" s="41">
        <v>350</v>
      </c>
      <c r="N814" s="41">
        <v>500</v>
      </c>
      <c r="O814" s="41">
        <f t="shared" si="207"/>
        <v>500</v>
      </c>
      <c r="P814" s="201">
        <f t="shared" si="208"/>
        <v>500</v>
      </c>
    </row>
    <row r="815" spans="1:16" hidden="1" outlineLevel="1" x14ac:dyDescent="0.25">
      <c r="A815" s="39"/>
      <c r="B815" s="46" t="s">
        <v>516</v>
      </c>
      <c r="C815" s="171"/>
      <c r="D815" s="47" t="s">
        <v>13</v>
      </c>
      <c r="E815" s="39" t="s">
        <v>17</v>
      </c>
      <c r="F815" s="39" t="s">
        <v>345</v>
      </c>
      <c r="G815" s="39" t="s">
        <v>19</v>
      </c>
      <c r="H815" s="42">
        <v>61457.35</v>
      </c>
      <c r="I815" s="42">
        <v>66309.73</v>
      </c>
      <c r="J815" s="42">
        <v>76663</v>
      </c>
      <c r="K815" s="42">
        <v>75917</v>
      </c>
      <c r="L815" s="42">
        <v>70628.41</v>
      </c>
      <c r="M815" s="42">
        <v>55628.41</v>
      </c>
      <c r="N815" s="44">
        <v>90102</v>
      </c>
      <c r="O815" s="42">
        <f t="shared" si="207"/>
        <v>90102</v>
      </c>
      <c r="P815" s="203">
        <f t="shared" si="208"/>
        <v>90102</v>
      </c>
    </row>
    <row r="816" spans="1:16" hidden="1" outlineLevel="1" x14ac:dyDescent="0.25">
      <c r="A816" s="39"/>
      <c r="B816" s="46"/>
      <c r="C816" s="171"/>
      <c r="D816" s="47" t="s">
        <v>549</v>
      </c>
      <c r="E816" s="39" t="s">
        <v>17</v>
      </c>
      <c r="F816" s="39" t="s">
        <v>345</v>
      </c>
      <c r="G816" s="39" t="s">
        <v>550</v>
      </c>
      <c r="H816" s="42">
        <v>0</v>
      </c>
      <c r="I816" s="42">
        <v>0</v>
      </c>
      <c r="J816" s="42">
        <v>0</v>
      </c>
      <c r="K816" s="42">
        <v>0</v>
      </c>
      <c r="L816" s="42">
        <v>0</v>
      </c>
      <c r="M816" s="42">
        <v>0</v>
      </c>
      <c r="N816" s="9">
        <v>875</v>
      </c>
      <c r="O816" s="42">
        <f>N816</f>
        <v>875</v>
      </c>
      <c r="P816" s="203">
        <f>N816</f>
        <v>875</v>
      </c>
    </row>
    <row r="817" spans="1:20" ht="15" customHeight="1" collapsed="1" x14ac:dyDescent="0.25">
      <c r="A817" s="39" t="s">
        <v>11</v>
      </c>
      <c r="B817" s="46" t="s">
        <v>516</v>
      </c>
      <c r="C817" s="171"/>
      <c r="D817" s="47" t="s">
        <v>468</v>
      </c>
      <c r="E817" s="39"/>
      <c r="F817" s="39"/>
      <c r="G817" s="20" t="s">
        <v>610</v>
      </c>
      <c r="H817" s="24">
        <f>H814+H815+H816</f>
        <v>62609.35</v>
      </c>
      <c r="I817" s="24">
        <f t="shared" ref="I817:P817" si="211">I814+I815+I816</f>
        <v>67398.48</v>
      </c>
      <c r="J817" s="24">
        <f t="shared" si="211"/>
        <v>77163</v>
      </c>
      <c r="K817" s="24">
        <f t="shared" si="211"/>
        <v>76417</v>
      </c>
      <c r="L817" s="24">
        <f t="shared" si="211"/>
        <v>71128.41</v>
      </c>
      <c r="M817" s="24">
        <f t="shared" si="211"/>
        <v>55978.41</v>
      </c>
      <c r="N817" s="24">
        <f t="shared" si="211"/>
        <v>91477</v>
      </c>
      <c r="O817" s="24">
        <f t="shared" si="211"/>
        <v>91477</v>
      </c>
      <c r="P817" s="215">
        <f t="shared" si="211"/>
        <v>91477</v>
      </c>
      <c r="T817" s="78"/>
    </row>
    <row r="818" spans="1:20" ht="15" hidden="1" customHeight="1" outlineLevel="1" x14ac:dyDescent="0.25">
      <c r="A818" s="39" t="s">
        <v>11</v>
      </c>
      <c r="B818" s="46" t="s">
        <v>516</v>
      </c>
      <c r="C818" s="171"/>
      <c r="D818" s="47" t="s">
        <v>22</v>
      </c>
      <c r="E818" s="39" t="s">
        <v>14</v>
      </c>
      <c r="F818" s="39" t="s">
        <v>345</v>
      </c>
      <c r="G818" s="39" t="s">
        <v>346</v>
      </c>
      <c r="H818" s="42">
        <v>115.2</v>
      </c>
      <c r="I818" s="42">
        <v>83.35</v>
      </c>
      <c r="J818" s="42">
        <v>56</v>
      </c>
      <c r="K818" s="42">
        <v>56</v>
      </c>
      <c r="L818" s="42">
        <v>56</v>
      </c>
      <c r="M818" s="42">
        <v>35</v>
      </c>
      <c r="N818" s="42"/>
      <c r="O818" s="42">
        <f t="shared" si="207"/>
        <v>0</v>
      </c>
      <c r="P818" s="203">
        <f t="shared" si="208"/>
        <v>0</v>
      </c>
    </row>
    <row r="819" spans="1:20" ht="15" hidden="1" customHeight="1" outlineLevel="1" x14ac:dyDescent="0.25">
      <c r="A819" s="39" t="s">
        <v>11</v>
      </c>
      <c r="B819" s="46" t="s">
        <v>516</v>
      </c>
      <c r="C819" s="171"/>
      <c r="D819" s="47" t="s">
        <v>22</v>
      </c>
      <c r="E819" s="39" t="s">
        <v>17</v>
      </c>
      <c r="F819" s="39" t="s">
        <v>345</v>
      </c>
      <c r="G819" s="39" t="s">
        <v>23</v>
      </c>
      <c r="H819" s="42">
        <v>5856.21</v>
      </c>
      <c r="I819" s="42">
        <v>6611.36</v>
      </c>
      <c r="J819" s="42">
        <v>7660</v>
      </c>
      <c r="K819" s="42">
        <v>7660</v>
      </c>
      <c r="L819" s="42">
        <v>7029.69</v>
      </c>
      <c r="M819" s="42">
        <v>5529.69</v>
      </c>
      <c r="N819" s="42">
        <v>9120</v>
      </c>
      <c r="O819" s="42">
        <f t="shared" si="207"/>
        <v>9120</v>
      </c>
      <c r="P819" s="203">
        <f t="shared" si="208"/>
        <v>9120</v>
      </c>
    </row>
    <row r="820" spans="1:20" hidden="1" outlineLevel="1" collapsed="1" x14ac:dyDescent="0.25">
      <c r="A820" s="39" t="s">
        <v>11</v>
      </c>
      <c r="B820" s="46" t="s">
        <v>516</v>
      </c>
      <c r="C820" s="171"/>
      <c r="D820" s="47" t="s">
        <v>52</v>
      </c>
      <c r="E820" s="39" t="s">
        <v>14</v>
      </c>
      <c r="F820" s="39" t="s">
        <v>345</v>
      </c>
      <c r="G820" s="39" t="s">
        <v>53</v>
      </c>
      <c r="H820" s="42">
        <v>540</v>
      </c>
      <c r="I820" s="42">
        <v>545</v>
      </c>
      <c r="J820" s="42">
        <v>50</v>
      </c>
      <c r="K820" s="42">
        <v>50</v>
      </c>
      <c r="L820" s="42">
        <v>50</v>
      </c>
      <c r="M820" s="42">
        <v>0</v>
      </c>
      <c r="N820" s="42"/>
      <c r="O820" s="42">
        <f t="shared" si="207"/>
        <v>0</v>
      </c>
      <c r="P820" s="203">
        <f t="shared" si="208"/>
        <v>0</v>
      </c>
    </row>
    <row r="821" spans="1:20" ht="15" hidden="1" customHeight="1" outlineLevel="1" x14ac:dyDescent="0.25">
      <c r="A821" s="39" t="s">
        <v>11</v>
      </c>
      <c r="B821" s="46" t="s">
        <v>516</v>
      </c>
      <c r="C821" s="171"/>
      <c r="D821" s="47" t="s">
        <v>52</v>
      </c>
      <c r="E821" s="39" t="s">
        <v>17</v>
      </c>
      <c r="F821" s="39" t="s">
        <v>345</v>
      </c>
      <c r="G821" s="39" t="s">
        <v>53</v>
      </c>
      <c r="H821" s="42">
        <v>0</v>
      </c>
      <c r="I821" s="42">
        <v>40</v>
      </c>
      <c r="J821" s="42">
        <v>550</v>
      </c>
      <c r="K821" s="42">
        <v>550</v>
      </c>
      <c r="L821" s="42">
        <v>500</v>
      </c>
      <c r="M821" s="42">
        <v>350</v>
      </c>
      <c r="N821" s="42">
        <v>600</v>
      </c>
      <c r="O821" s="42">
        <f t="shared" si="207"/>
        <v>600</v>
      </c>
      <c r="P821" s="203">
        <f t="shared" si="208"/>
        <v>600</v>
      </c>
    </row>
    <row r="822" spans="1:20" ht="15" hidden="1" customHeight="1" outlineLevel="1" x14ac:dyDescent="0.25">
      <c r="A822" s="39" t="s">
        <v>11</v>
      </c>
      <c r="B822" s="46" t="s">
        <v>516</v>
      </c>
      <c r="C822" s="171"/>
      <c r="D822" s="47" t="s">
        <v>29</v>
      </c>
      <c r="E822" s="39" t="s">
        <v>14</v>
      </c>
      <c r="F822" s="39" t="s">
        <v>345</v>
      </c>
      <c r="G822" s="39" t="s">
        <v>30</v>
      </c>
      <c r="H822" s="42">
        <v>16.12</v>
      </c>
      <c r="I822" s="42">
        <v>11.66</v>
      </c>
      <c r="J822" s="42">
        <v>10</v>
      </c>
      <c r="K822" s="42">
        <v>10</v>
      </c>
      <c r="L822" s="42">
        <v>10</v>
      </c>
      <c r="M822" s="42">
        <v>4.9000000000000004</v>
      </c>
      <c r="N822" s="42"/>
      <c r="O822" s="42">
        <f t="shared" si="207"/>
        <v>0</v>
      </c>
      <c r="P822" s="203">
        <f t="shared" si="208"/>
        <v>0</v>
      </c>
    </row>
    <row r="823" spans="1:20" ht="15" hidden="1" customHeight="1" outlineLevel="1" x14ac:dyDescent="0.25">
      <c r="A823" s="39" t="s">
        <v>11</v>
      </c>
      <c r="B823" s="46" t="s">
        <v>516</v>
      </c>
      <c r="C823" s="171"/>
      <c r="D823" s="47" t="s">
        <v>29</v>
      </c>
      <c r="E823" s="39" t="s">
        <v>17</v>
      </c>
      <c r="F823" s="39" t="s">
        <v>345</v>
      </c>
      <c r="G823" s="39" t="s">
        <v>30</v>
      </c>
      <c r="H823" s="42">
        <v>853.71</v>
      </c>
      <c r="I823" s="42">
        <v>920.53</v>
      </c>
      <c r="J823" s="42">
        <v>1070</v>
      </c>
      <c r="K823" s="42">
        <v>1070</v>
      </c>
      <c r="L823" s="42">
        <v>979.05</v>
      </c>
      <c r="M823" s="42">
        <v>769.05</v>
      </c>
      <c r="N823" s="42">
        <v>1280</v>
      </c>
      <c r="O823" s="42">
        <f t="shared" si="207"/>
        <v>1280</v>
      </c>
      <c r="P823" s="203">
        <f t="shared" si="208"/>
        <v>1280</v>
      </c>
    </row>
    <row r="824" spans="1:20" ht="15" hidden="1" customHeight="1" outlineLevel="1" x14ac:dyDescent="0.25">
      <c r="A824" s="39" t="s">
        <v>11</v>
      </c>
      <c r="B824" s="46" t="s">
        <v>516</v>
      </c>
      <c r="C824" s="171"/>
      <c r="D824" s="47" t="s">
        <v>32</v>
      </c>
      <c r="E824" s="39" t="s">
        <v>14</v>
      </c>
      <c r="F824" s="39" t="s">
        <v>345</v>
      </c>
      <c r="G824" s="39" t="s">
        <v>34</v>
      </c>
      <c r="H824" s="42">
        <v>161.28</v>
      </c>
      <c r="I824" s="42">
        <v>116.69</v>
      </c>
      <c r="J824" s="42">
        <v>52</v>
      </c>
      <c r="K824" s="42">
        <v>52</v>
      </c>
      <c r="L824" s="42">
        <v>52</v>
      </c>
      <c r="M824" s="42">
        <v>49</v>
      </c>
      <c r="N824" s="42"/>
      <c r="O824" s="42">
        <f t="shared" si="207"/>
        <v>0</v>
      </c>
      <c r="P824" s="203">
        <f t="shared" si="208"/>
        <v>0</v>
      </c>
    </row>
    <row r="825" spans="1:20" ht="15" hidden="1" customHeight="1" outlineLevel="1" x14ac:dyDescent="0.25">
      <c r="A825" s="39" t="s">
        <v>11</v>
      </c>
      <c r="B825" s="46" t="s">
        <v>516</v>
      </c>
      <c r="C825" s="171"/>
      <c r="D825" s="47" t="s">
        <v>32</v>
      </c>
      <c r="E825" s="39" t="s">
        <v>17</v>
      </c>
      <c r="F825" s="39" t="s">
        <v>345</v>
      </c>
      <c r="G825" s="39" t="s">
        <v>34</v>
      </c>
      <c r="H825" s="42">
        <v>8540.94</v>
      </c>
      <c r="I825" s="42">
        <v>9208.98</v>
      </c>
      <c r="J825" s="42">
        <v>10750</v>
      </c>
      <c r="K825" s="42">
        <v>10490</v>
      </c>
      <c r="L825" s="42">
        <v>9047.869999999999</v>
      </c>
      <c r="M825" s="42">
        <v>6947.87</v>
      </c>
      <c r="N825" s="42">
        <v>12760</v>
      </c>
      <c r="O825" s="42">
        <f t="shared" si="207"/>
        <v>12760</v>
      </c>
      <c r="P825" s="203">
        <f t="shared" si="208"/>
        <v>12760</v>
      </c>
    </row>
    <row r="826" spans="1:20" ht="15" hidden="1" customHeight="1" outlineLevel="1" x14ac:dyDescent="0.25">
      <c r="A826" s="39" t="s">
        <v>11</v>
      </c>
      <c r="B826" s="46" t="s">
        <v>516</v>
      </c>
      <c r="C826" s="171"/>
      <c r="D826" s="47" t="s">
        <v>36</v>
      </c>
      <c r="E826" s="39" t="s">
        <v>14</v>
      </c>
      <c r="F826" s="39" t="s">
        <v>345</v>
      </c>
      <c r="G826" s="39" t="s">
        <v>38</v>
      </c>
      <c r="H826" s="42">
        <v>9.2100000000000009</v>
      </c>
      <c r="I826" s="42">
        <v>6.66</v>
      </c>
      <c r="J826" s="42">
        <v>7</v>
      </c>
      <c r="K826" s="42">
        <v>7</v>
      </c>
      <c r="L826" s="42">
        <v>7</v>
      </c>
      <c r="M826" s="42">
        <v>2.8</v>
      </c>
      <c r="N826" s="42"/>
      <c r="O826" s="42">
        <f t="shared" si="207"/>
        <v>0</v>
      </c>
      <c r="P826" s="203">
        <f t="shared" si="208"/>
        <v>0</v>
      </c>
    </row>
    <row r="827" spans="1:20" ht="15" hidden="1" customHeight="1" outlineLevel="1" x14ac:dyDescent="0.25">
      <c r="A827" s="39" t="s">
        <v>11</v>
      </c>
      <c r="B827" s="46" t="s">
        <v>516</v>
      </c>
      <c r="C827" s="171"/>
      <c r="D827" s="47" t="s">
        <v>36</v>
      </c>
      <c r="E827" s="39" t="s">
        <v>17</v>
      </c>
      <c r="F827" s="39" t="s">
        <v>345</v>
      </c>
      <c r="G827" s="39" t="s">
        <v>38</v>
      </c>
      <c r="H827" s="42">
        <v>487.73</v>
      </c>
      <c r="I827" s="42">
        <v>526</v>
      </c>
      <c r="J827" s="42">
        <v>610</v>
      </c>
      <c r="K827" s="42">
        <v>610</v>
      </c>
      <c r="L827" s="42">
        <v>559.39</v>
      </c>
      <c r="M827" s="42">
        <v>439.39</v>
      </c>
      <c r="N827" s="42">
        <v>730</v>
      </c>
      <c r="O827" s="42">
        <f t="shared" si="207"/>
        <v>730</v>
      </c>
      <c r="P827" s="203">
        <f t="shared" si="208"/>
        <v>730</v>
      </c>
    </row>
    <row r="828" spans="1:20" ht="15" hidden="1" customHeight="1" outlineLevel="1" x14ac:dyDescent="0.25">
      <c r="A828" s="39" t="s">
        <v>11</v>
      </c>
      <c r="B828" s="46" t="s">
        <v>516</v>
      </c>
      <c r="C828" s="171"/>
      <c r="D828" s="47" t="s">
        <v>40</v>
      </c>
      <c r="E828" s="39" t="s">
        <v>14</v>
      </c>
      <c r="F828" s="39" t="s">
        <v>345</v>
      </c>
      <c r="G828" s="39" t="s">
        <v>42</v>
      </c>
      <c r="H828" s="42">
        <v>34.57</v>
      </c>
      <c r="I828" s="42">
        <v>25.01</v>
      </c>
      <c r="J828" s="42">
        <v>15</v>
      </c>
      <c r="K828" s="42">
        <v>15</v>
      </c>
      <c r="L828" s="42">
        <v>15</v>
      </c>
      <c r="M828" s="42">
        <v>10.5</v>
      </c>
      <c r="N828" s="42"/>
      <c r="O828" s="42">
        <f t="shared" si="207"/>
        <v>0</v>
      </c>
      <c r="P828" s="203">
        <f t="shared" si="208"/>
        <v>0</v>
      </c>
    </row>
    <row r="829" spans="1:20" ht="15" hidden="1" customHeight="1" outlineLevel="1" x14ac:dyDescent="0.25">
      <c r="A829" s="39" t="s">
        <v>11</v>
      </c>
      <c r="B829" s="46" t="s">
        <v>516</v>
      </c>
      <c r="C829" s="171"/>
      <c r="D829" s="47" t="s">
        <v>40</v>
      </c>
      <c r="E829" s="39" t="s">
        <v>17</v>
      </c>
      <c r="F829" s="39" t="s">
        <v>345</v>
      </c>
      <c r="G829" s="39" t="s">
        <v>42</v>
      </c>
      <c r="H829" s="42">
        <v>1829.96</v>
      </c>
      <c r="I829" s="42">
        <v>1973.58</v>
      </c>
      <c r="J829" s="42">
        <v>2300</v>
      </c>
      <c r="K829" s="42">
        <v>2300</v>
      </c>
      <c r="L829" s="42">
        <v>2842.94</v>
      </c>
      <c r="M829" s="42">
        <v>2392.94</v>
      </c>
      <c r="N829" s="42">
        <v>2735</v>
      </c>
      <c r="O829" s="42">
        <f t="shared" si="207"/>
        <v>2735</v>
      </c>
      <c r="P829" s="203">
        <f t="shared" si="208"/>
        <v>2735</v>
      </c>
    </row>
    <row r="830" spans="1:20" ht="15" hidden="1" customHeight="1" outlineLevel="1" x14ac:dyDescent="0.25">
      <c r="A830" s="39" t="s">
        <v>11</v>
      </c>
      <c r="B830" s="46" t="s">
        <v>516</v>
      </c>
      <c r="C830" s="171"/>
      <c r="D830" s="47" t="s">
        <v>44</v>
      </c>
      <c r="E830" s="39" t="s">
        <v>14</v>
      </c>
      <c r="F830" s="39" t="s">
        <v>345</v>
      </c>
      <c r="G830" s="39" t="s">
        <v>46</v>
      </c>
      <c r="H830" s="42">
        <v>11.53</v>
      </c>
      <c r="I830" s="42">
        <v>8.34</v>
      </c>
      <c r="J830" s="42">
        <v>5</v>
      </c>
      <c r="K830" s="42">
        <v>5</v>
      </c>
      <c r="L830" s="42">
        <v>5</v>
      </c>
      <c r="M830" s="42">
        <v>3.5</v>
      </c>
      <c r="N830" s="42"/>
      <c r="O830" s="42">
        <f t="shared" si="207"/>
        <v>0</v>
      </c>
      <c r="P830" s="203">
        <f t="shared" si="208"/>
        <v>0</v>
      </c>
    </row>
    <row r="831" spans="1:20" ht="15" hidden="1" customHeight="1" outlineLevel="1" x14ac:dyDescent="0.25">
      <c r="A831" s="39" t="s">
        <v>11</v>
      </c>
      <c r="B831" s="46" t="s">
        <v>516</v>
      </c>
      <c r="C831" s="171"/>
      <c r="D831" s="47" t="s">
        <v>44</v>
      </c>
      <c r="E831" s="39" t="s">
        <v>17</v>
      </c>
      <c r="F831" s="39" t="s">
        <v>345</v>
      </c>
      <c r="G831" s="39" t="s">
        <v>46</v>
      </c>
      <c r="H831" s="42">
        <v>609.82000000000005</v>
      </c>
      <c r="I831" s="42">
        <v>657.74</v>
      </c>
      <c r="J831" s="42">
        <v>767</v>
      </c>
      <c r="K831" s="42">
        <v>887</v>
      </c>
      <c r="L831" s="42">
        <v>1125.6799999999998</v>
      </c>
      <c r="M831" s="42">
        <v>975.68</v>
      </c>
      <c r="N831" s="42">
        <v>916</v>
      </c>
      <c r="O831" s="42">
        <f t="shared" si="207"/>
        <v>916</v>
      </c>
      <c r="P831" s="203">
        <f t="shared" si="208"/>
        <v>916</v>
      </c>
    </row>
    <row r="832" spans="1:20" ht="15" hidden="1" customHeight="1" outlineLevel="1" x14ac:dyDescent="0.25">
      <c r="A832" s="39" t="s">
        <v>11</v>
      </c>
      <c r="B832" s="46" t="s">
        <v>516</v>
      </c>
      <c r="C832" s="171"/>
      <c r="D832" s="47" t="s">
        <v>48</v>
      </c>
      <c r="E832" s="39" t="s">
        <v>14</v>
      </c>
      <c r="F832" s="39" t="s">
        <v>345</v>
      </c>
      <c r="G832" s="39" t="s">
        <v>50</v>
      </c>
      <c r="H832" s="42">
        <v>54.72</v>
      </c>
      <c r="I832" s="42">
        <v>39.590000000000003</v>
      </c>
      <c r="J832" s="42">
        <v>25</v>
      </c>
      <c r="K832" s="42">
        <v>65</v>
      </c>
      <c r="L832" s="42">
        <v>65</v>
      </c>
      <c r="M832" s="42">
        <v>35.630000000000003</v>
      </c>
      <c r="N832" s="42"/>
      <c r="O832" s="42">
        <f t="shared" si="207"/>
        <v>0</v>
      </c>
      <c r="P832" s="203">
        <f t="shared" si="208"/>
        <v>0</v>
      </c>
    </row>
    <row r="833" spans="1:16" ht="15" hidden="1" customHeight="1" outlineLevel="1" x14ac:dyDescent="0.25">
      <c r="A833" s="39"/>
      <c r="B833" s="46"/>
      <c r="C833" s="171"/>
      <c r="D833" s="47" t="s">
        <v>48</v>
      </c>
      <c r="E833" s="39" t="s">
        <v>17</v>
      </c>
      <c r="F833" s="39" t="s">
        <v>345</v>
      </c>
      <c r="G833" s="39" t="s">
        <v>50</v>
      </c>
      <c r="H833" s="42">
        <v>2897.43</v>
      </c>
      <c r="I833" s="42">
        <v>3124.12</v>
      </c>
      <c r="J833" s="42">
        <v>3640</v>
      </c>
      <c r="K833" s="42">
        <v>3480</v>
      </c>
      <c r="L833" s="42">
        <v>3303.26</v>
      </c>
      <c r="M833" s="42">
        <v>2590.7600000000002</v>
      </c>
      <c r="N833" s="42">
        <v>4330</v>
      </c>
      <c r="O833" s="42">
        <f t="shared" si="207"/>
        <v>4330</v>
      </c>
      <c r="P833" s="203">
        <f t="shared" si="208"/>
        <v>4330</v>
      </c>
    </row>
    <row r="834" spans="1:16" ht="15" customHeight="1" collapsed="1" x14ac:dyDescent="0.25">
      <c r="A834" s="39" t="s">
        <v>11</v>
      </c>
      <c r="B834" s="46" t="s">
        <v>516</v>
      </c>
      <c r="C834" s="171"/>
      <c r="D834" s="47" t="s">
        <v>469</v>
      </c>
      <c r="E834" s="39"/>
      <c r="F834" s="39"/>
      <c r="G834" s="39" t="s">
        <v>652</v>
      </c>
      <c r="H834" s="24">
        <f>SUM(H818:H833)</f>
        <v>22018.429999999997</v>
      </c>
      <c r="I834" s="24">
        <f t="shared" ref="I834:P834" si="212">SUM(I818:I833)</f>
        <v>23898.61</v>
      </c>
      <c r="J834" s="24">
        <f t="shared" si="212"/>
        <v>27567</v>
      </c>
      <c r="K834" s="24">
        <f t="shared" si="212"/>
        <v>27307</v>
      </c>
      <c r="L834" s="24">
        <f t="shared" si="212"/>
        <v>25647.879999999997</v>
      </c>
      <c r="M834" s="24">
        <f t="shared" si="212"/>
        <v>20136.71</v>
      </c>
      <c r="N834" s="24">
        <f t="shared" si="212"/>
        <v>32471</v>
      </c>
      <c r="O834" s="24">
        <f t="shared" si="212"/>
        <v>32471</v>
      </c>
      <c r="P834" s="215">
        <f t="shared" si="212"/>
        <v>32471</v>
      </c>
    </row>
    <row r="835" spans="1:16" ht="15" hidden="1" customHeight="1" outlineLevel="1" x14ac:dyDescent="0.25">
      <c r="A835" s="39" t="s">
        <v>11</v>
      </c>
      <c r="B835" s="46" t="s">
        <v>516</v>
      </c>
      <c r="C835" s="171"/>
      <c r="D835" s="47" t="s">
        <v>54</v>
      </c>
      <c r="E835" s="39" t="s">
        <v>14</v>
      </c>
      <c r="F835" s="39" t="s">
        <v>345</v>
      </c>
      <c r="G835" s="39" t="s">
        <v>347</v>
      </c>
      <c r="H835" s="42">
        <v>79</v>
      </c>
      <c r="I835" s="42">
        <v>0</v>
      </c>
      <c r="J835" s="42">
        <v>0</v>
      </c>
      <c r="K835" s="42">
        <v>0</v>
      </c>
      <c r="L835" s="42">
        <v>0</v>
      </c>
      <c r="M835" s="42">
        <v>0</v>
      </c>
      <c r="N835" s="42">
        <v>0</v>
      </c>
      <c r="O835" s="42">
        <f t="shared" si="207"/>
        <v>0</v>
      </c>
      <c r="P835" s="203">
        <f t="shared" si="208"/>
        <v>0</v>
      </c>
    </row>
    <row r="836" spans="1:16" ht="15" hidden="1" customHeight="1" outlineLevel="1" x14ac:dyDescent="0.25">
      <c r="A836" s="39"/>
      <c r="B836" s="46"/>
      <c r="C836" s="171"/>
      <c r="D836" s="47" t="s">
        <v>54</v>
      </c>
      <c r="E836" s="39" t="s">
        <v>17</v>
      </c>
      <c r="F836" s="39" t="s">
        <v>345</v>
      </c>
      <c r="G836" s="39" t="s">
        <v>347</v>
      </c>
      <c r="H836" s="42">
        <v>0</v>
      </c>
      <c r="I836" s="42">
        <v>0</v>
      </c>
      <c r="J836" s="42">
        <v>50</v>
      </c>
      <c r="K836" s="42">
        <v>50</v>
      </c>
      <c r="L836" s="42">
        <v>0</v>
      </c>
      <c r="M836" s="42">
        <v>0</v>
      </c>
      <c r="N836" s="42">
        <v>100</v>
      </c>
      <c r="O836" s="42">
        <f t="shared" si="207"/>
        <v>100</v>
      </c>
      <c r="P836" s="203">
        <f t="shared" si="208"/>
        <v>100</v>
      </c>
    </row>
    <row r="837" spans="1:16" collapsed="1" x14ac:dyDescent="0.25">
      <c r="A837" s="39" t="s">
        <v>11</v>
      </c>
      <c r="B837" s="46" t="s">
        <v>516</v>
      </c>
      <c r="C837" s="171"/>
      <c r="D837" s="47" t="s">
        <v>480</v>
      </c>
      <c r="E837" s="39"/>
      <c r="F837" s="39"/>
      <c r="G837" s="39" t="s">
        <v>678</v>
      </c>
      <c r="H837" s="24">
        <f>SUM(H835:H836)</f>
        <v>79</v>
      </c>
      <c r="I837" s="24">
        <f t="shared" ref="I837:P837" si="213">SUM(I835:I836)</f>
        <v>0</v>
      </c>
      <c r="J837" s="24">
        <f t="shared" si="213"/>
        <v>50</v>
      </c>
      <c r="K837" s="24">
        <f t="shared" si="213"/>
        <v>50</v>
      </c>
      <c r="L837" s="24">
        <f t="shared" si="213"/>
        <v>0</v>
      </c>
      <c r="M837" s="24">
        <f t="shared" si="213"/>
        <v>0</v>
      </c>
      <c r="N837" s="24">
        <f t="shared" si="213"/>
        <v>100</v>
      </c>
      <c r="O837" s="24">
        <f t="shared" si="213"/>
        <v>100</v>
      </c>
      <c r="P837" s="215">
        <f t="shared" si="213"/>
        <v>100</v>
      </c>
    </row>
    <row r="838" spans="1:16" ht="15" hidden="1" customHeight="1" outlineLevel="1" x14ac:dyDescent="0.25">
      <c r="A838" s="39" t="s">
        <v>11</v>
      </c>
      <c r="B838" s="46" t="s">
        <v>516</v>
      </c>
      <c r="C838" s="171"/>
      <c r="D838" s="47" t="s">
        <v>56</v>
      </c>
      <c r="E838" s="39" t="s">
        <v>17</v>
      </c>
      <c r="F838" s="39" t="s">
        <v>345</v>
      </c>
      <c r="G838" s="39" t="s">
        <v>351</v>
      </c>
      <c r="H838" s="42">
        <v>1083.04</v>
      </c>
      <c r="I838" s="42">
        <v>883.51</v>
      </c>
      <c r="J838" s="42">
        <v>1000</v>
      </c>
      <c r="K838" s="42">
        <v>1000</v>
      </c>
      <c r="L838" s="42">
        <v>800</v>
      </c>
      <c r="M838" s="42">
        <v>727.49</v>
      </c>
      <c r="N838" s="42">
        <v>1100</v>
      </c>
      <c r="O838" s="42">
        <f t="shared" si="207"/>
        <v>1100</v>
      </c>
      <c r="P838" s="203">
        <f t="shared" si="208"/>
        <v>1100</v>
      </c>
    </row>
    <row r="839" spans="1:16" ht="15" hidden="1" customHeight="1" outlineLevel="1" x14ac:dyDescent="0.25">
      <c r="A839" s="39" t="s">
        <v>11</v>
      </c>
      <c r="B839" s="46" t="s">
        <v>516</v>
      </c>
      <c r="C839" s="171"/>
      <c r="D839" s="47" t="s">
        <v>56</v>
      </c>
      <c r="E839" s="39" t="s">
        <v>17</v>
      </c>
      <c r="F839" s="39" t="s">
        <v>345</v>
      </c>
      <c r="G839" s="39" t="s">
        <v>352</v>
      </c>
      <c r="H839" s="42">
        <v>1153.9100000000001</v>
      </c>
      <c r="I839" s="42">
        <v>1731.22</v>
      </c>
      <c r="J839" s="42">
        <v>1632</v>
      </c>
      <c r="K839" s="42">
        <v>1632</v>
      </c>
      <c r="L839" s="42">
        <v>850</v>
      </c>
      <c r="M839" s="42">
        <v>864.39</v>
      </c>
      <c r="N839" s="44">
        <v>1200</v>
      </c>
      <c r="O839" s="42">
        <f t="shared" si="207"/>
        <v>1200</v>
      </c>
      <c r="P839" s="203">
        <f t="shared" si="208"/>
        <v>1200</v>
      </c>
    </row>
    <row r="840" spans="1:16" hidden="1" outlineLevel="1" collapsed="1" x14ac:dyDescent="0.25">
      <c r="A840" s="39" t="s">
        <v>11</v>
      </c>
      <c r="B840" s="46" t="s">
        <v>516</v>
      </c>
      <c r="C840" s="171"/>
      <c r="D840" s="47" t="s">
        <v>72</v>
      </c>
      <c r="E840" s="39" t="s">
        <v>17</v>
      </c>
      <c r="F840" s="39" t="s">
        <v>345</v>
      </c>
      <c r="G840" s="39" t="s">
        <v>73</v>
      </c>
      <c r="H840" s="42">
        <v>12</v>
      </c>
      <c r="I840" s="42">
        <v>12</v>
      </c>
      <c r="J840" s="42">
        <v>12</v>
      </c>
      <c r="K840" s="42">
        <v>12</v>
      </c>
      <c r="L840" s="42">
        <v>12</v>
      </c>
      <c r="M840" s="42">
        <v>12</v>
      </c>
      <c r="N840" s="42">
        <v>12</v>
      </c>
      <c r="O840" s="42">
        <f t="shared" si="207"/>
        <v>12</v>
      </c>
      <c r="P840" s="203">
        <f t="shared" si="208"/>
        <v>12</v>
      </c>
    </row>
    <row r="841" spans="1:16" ht="15" hidden="1" customHeight="1" outlineLevel="1" x14ac:dyDescent="0.25">
      <c r="A841" s="39"/>
      <c r="B841" s="46"/>
      <c r="C841" s="171"/>
      <c r="D841" s="47" t="s">
        <v>74</v>
      </c>
      <c r="E841" s="39" t="s">
        <v>17</v>
      </c>
      <c r="F841" s="39" t="s">
        <v>345</v>
      </c>
      <c r="G841" s="39" t="s">
        <v>355</v>
      </c>
      <c r="H841" s="42">
        <v>226.61</v>
      </c>
      <c r="I841" s="42">
        <v>225.97</v>
      </c>
      <c r="J841" s="42">
        <v>230</v>
      </c>
      <c r="K841" s="42">
        <v>230</v>
      </c>
      <c r="L841" s="42">
        <v>150</v>
      </c>
      <c r="M841" s="42">
        <v>144.21</v>
      </c>
      <c r="N841" s="42">
        <v>230</v>
      </c>
      <c r="O841" s="42">
        <f t="shared" si="207"/>
        <v>230</v>
      </c>
      <c r="P841" s="203">
        <f t="shared" si="208"/>
        <v>230</v>
      </c>
    </row>
    <row r="842" spans="1:16" ht="15" customHeight="1" collapsed="1" x14ac:dyDescent="0.25">
      <c r="A842" s="39" t="s">
        <v>11</v>
      </c>
      <c r="B842" s="46" t="s">
        <v>516</v>
      </c>
      <c r="C842" s="171"/>
      <c r="D842" s="47" t="s">
        <v>481</v>
      </c>
      <c r="E842" s="39"/>
      <c r="F842" s="39"/>
      <c r="G842" s="39" t="s">
        <v>567</v>
      </c>
      <c r="H842" s="24">
        <f>SUM(H838:H841)</f>
        <v>2475.56</v>
      </c>
      <c r="I842" s="24">
        <f t="shared" ref="I842:P842" si="214">SUM(I838:I841)</f>
        <v>2852.7</v>
      </c>
      <c r="J842" s="24">
        <f t="shared" si="214"/>
        <v>2874</v>
      </c>
      <c r="K842" s="24">
        <f t="shared" si="214"/>
        <v>2874</v>
      </c>
      <c r="L842" s="24">
        <f t="shared" si="214"/>
        <v>1812</v>
      </c>
      <c r="M842" s="24">
        <f t="shared" si="214"/>
        <v>1748.0900000000001</v>
      </c>
      <c r="N842" s="24">
        <f t="shared" si="214"/>
        <v>2542</v>
      </c>
      <c r="O842" s="24">
        <f t="shared" si="214"/>
        <v>2542</v>
      </c>
      <c r="P842" s="215">
        <f t="shared" si="214"/>
        <v>2542</v>
      </c>
    </row>
    <row r="843" spans="1:16" ht="15" hidden="1" customHeight="1" outlineLevel="1" x14ac:dyDescent="0.25">
      <c r="A843" s="39" t="s">
        <v>11</v>
      </c>
      <c r="B843" s="46" t="s">
        <v>516</v>
      </c>
      <c r="C843" s="171"/>
      <c r="D843" s="47" t="s">
        <v>77</v>
      </c>
      <c r="E843" s="39" t="s">
        <v>14</v>
      </c>
      <c r="F843" s="39" t="s">
        <v>345</v>
      </c>
      <c r="G843" s="39" t="s">
        <v>356</v>
      </c>
      <c r="H843" s="42">
        <v>99.9</v>
      </c>
      <c r="I843" s="42">
        <f>44.9+3443.9</f>
        <v>3488.8</v>
      </c>
      <c r="J843" s="42">
        <v>500</v>
      </c>
      <c r="K843" s="42">
        <v>500</v>
      </c>
      <c r="L843" s="42">
        <v>70</v>
      </c>
      <c r="M843" s="42">
        <v>69.930000000000007</v>
      </c>
      <c r="N843" s="42">
        <v>514</v>
      </c>
      <c r="O843" s="42">
        <f t="shared" si="207"/>
        <v>514</v>
      </c>
      <c r="P843" s="203">
        <f t="shared" si="208"/>
        <v>514</v>
      </c>
    </row>
    <row r="844" spans="1:16" ht="15" hidden="1" customHeight="1" outlineLevel="1" x14ac:dyDescent="0.25">
      <c r="A844" s="39" t="s">
        <v>11</v>
      </c>
      <c r="B844" s="46" t="s">
        <v>516</v>
      </c>
      <c r="C844" s="171"/>
      <c r="D844" s="47" t="s">
        <v>80</v>
      </c>
      <c r="E844" s="39" t="s">
        <v>17</v>
      </c>
      <c r="F844" s="39" t="s">
        <v>345</v>
      </c>
      <c r="G844" s="39" t="s">
        <v>358</v>
      </c>
      <c r="H844" s="42">
        <v>49.8</v>
      </c>
      <c r="I844" s="42">
        <v>0</v>
      </c>
      <c r="J844" s="42">
        <v>200</v>
      </c>
      <c r="K844" s="42">
        <v>200</v>
      </c>
      <c r="L844" s="42">
        <v>0</v>
      </c>
      <c r="M844" s="42">
        <v>0</v>
      </c>
      <c r="N844" s="42">
        <v>200</v>
      </c>
      <c r="O844" s="42">
        <f t="shared" si="207"/>
        <v>200</v>
      </c>
      <c r="P844" s="203">
        <f t="shared" si="208"/>
        <v>200</v>
      </c>
    </row>
    <row r="845" spans="1:16" hidden="1" outlineLevel="1" collapsed="1" x14ac:dyDescent="0.25">
      <c r="A845" s="39" t="s">
        <v>11</v>
      </c>
      <c r="B845" s="46" t="s">
        <v>516</v>
      </c>
      <c r="C845" s="171"/>
      <c r="D845" s="47" t="s">
        <v>88</v>
      </c>
      <c r="E845" s="39" t="s">
        <v>14</v>
      </c>
      <c r="F845" s="39" t="s">
        <v>345</v>
      </c>
      <c r="G845" s="39" t="s">
        <v>362</v>
      </c>
      <c r="H845" s="42">
        <v>47.45</v>
      </c>
      <c r="I845" s="42">
        <v>178.25</v>
      </c>
      <c r="J845" s="42">
        <v>150</v>
      </c>
      <c r="K845" s="42">
        <v>150</v>
      </c>
      <c r="L845" s="42">
        <v>130</v>
      </c>
      <c r="M845" s="42">
        <v>122.76</v>
      </c>
      <c r="N845" s="42">
        <v>200</v>
      </c>
      <c r="O845" s="42">
        <f t="shared" si="207"/>
        <v>200</v>
      </c>
      <c r="P845" s="203">
        <f t="shared" si="208"/>
        <v>200</v>
      </c>
    </row>
    <row r="846" spans="1:16" ht="15" hidden="1" customHeight="1" outlineLevel="1" x14ac:dyDescent="0.25">
      <c r="A846" s="39" t="s">
        <v>11</v>
      </c>
      <c r="B846" s="46" t="s">
        <v>516</v>
      </c>
      <c r="C846" s="171"/>
      <c r="D846" s="47" t="s">
        <v>88</v>
      </c>
      <c r="E846" s="39" t="s">
        <v>17</v>
      </c>
      <c r="F846" s="39" t="s">
        <v>345</v>
      </c>
      <c r="G846" s="39" t="s">
        <v>362</v>
      </c>
      <c r="H846" s="42">
        <v>540.71</v>
      </c>
      <c r="I846" s="42">
        <v>287.31</v>
      </c>
      <c r="J846" s="42">
        <v>150</v>
      </c>
      <c r="K846" s="42">
        <v>470</v>
      </c>
      <c r="L846" s="42">
        <v>470</v>
      </c>
      <c r="M846" s="42">
        <v>461.19</v>
      </c>
      <c r="N846" s="44">
        <v>300</v>
      </c>
      <c r="O846" s="42">
        <f t="shared" si="207"/>
        <v>300</v>
      </c>
      <c r="P846" s="203">
        <f t="shared" si="208"/>
        <v>300</v>
      </c>
    </row>
    <row r="847" spans="1:16" ht="15" hidden="1" customHeight="1" outlineLevel="1" x14ac:dyDescent="0.25">
      <c r="A847" s="39" t="s">
        <v>11</v>
      </c>
      <c r="B847" s="46" t="s">
        <v>516</v>
      </c>
      <c r="C847" s="171"/>
      <c r="D847" s="47" t="s">
        <v>88</v>
      </c>
      <c r="E847" s="39" t="s">
        <v>17</v>
      </c>
      <c r="F847" s="39" t="s">
        <v>345</v>
      </c>
      <c r="G847" s="39" t="s">
        <v>365</v>
      </c>
      <c r="H847" s="42">
        <f>587.05+1555.19</f>
        <v>2142.2399999999998</v>
      </c>
      <c r="I847" s="42">
        <v>1498.77</v>
      </c>
      <c r="J847" s="42">
        <v>650</v>
      </c>
      <c r="K847" s="42">
        <v>270</v>
      </c>
      <c r="L847" s="42">
        <v>130</v>
      </c>
      <c r="M847" s="42">
        <v>128.19999999999999</v>
      </c>
      <c r="N847" s="44">
        <v>200</v>
      </c>
      <c r="O847" s="42">
        <f t="shared" si="207"/>
        <v>200</v>
      </c>
      <c r="P847" s="203">
        <f t="shared" si="208"/>
        <v>200</v>
      </c>
    </row>
    <row r="848" spans="1:16" ht="15" hidden="1" customHeight="1" outlineLevel="1" x14ac:dyDescent="0.25">
      <c r="A848" s="39" t="s">
        <v>11</v>
      </c>
      <c r="B848" s="46" t="s">
        <v>516</v>
      </c>
      <c r="C848" s="171"/>
      <c r="D848" s="47" t="s">
        <v>88</v>
      </c>
      <c r="E848" s="39" t="s">
        <v>17</v>
      </c>
      <c r="F848" s="39" t="s">
        <v>345</v>
      </c>
      <c r="G848" s="39" t="s">
        <v>366</v>
      </c>
      <c r="H848" s="42">
        <v>143.76</v>
      </c>
      <c r="I848" s="42">
        <v>37.06</v>
      </c>
      <c r="J848" s="42">
        <v>100</v>
      </c>
      <c r="K848" s="42">
        <v>160</v>
      </c>
      <c r="L848" s="42">
        <v>160</v>
      </c>
      <c r="M848" s="42">
        <v>159.72999999999999</v>
      </c>
      <c r="N848" s="42">
        <v>250</v>
      </c>
      <c r="O848" s="42">
        <f t="shared" si="207"/>
        <v>250</v>
      </c>
      <c r="P848" s="203">
        <f t="shared" si="208"/>
        <v>250</v>
      </c>
    </row>
    <row r="849" spans="1:16" ht="15" hidden="1" customHeight="1" outlineLevel="1" x14ac:dyDescent="0.25">
      <c r="A849" s="39" t="s">
        <v>11</v>
      </c>
      <c r="B849" s="46" t="s">
        <v>516</v>
      </c>
      <c r="C849" s="171"/>
      <c r="D849" s="47" t="s">
        <v>101</v>
      </c>
      <c r="E849" s="39" t="s">
        <v>14</v>
      </c>
      <c r="F849" s="39" t="s">
        <v>345</v>
      </c>
      <c r="G849" s="39" t="s">
        <v>369</v>
      </c>
      <c r="H849" s="42">
        <v>34.5</v>
      </c>
      <c r="I849" s="42">
        <v>10.8</v>
      </c>
      <c r="J849" s="42">
        <v>500</v>
      </c>
      <c r="K849" s="42">
        <v>500</v>
      </c>
      <c r="L849" s="42">
        <v>20</v>
      </c>
      <c r="M849" s="42">
        <v>19.8</v>
      </c>
      <c r="N849" s="42">
        <v>500</v>
      </c>
      <c r="O849" s="42">
        <f t="shared" si="207"/>
        <v>500</v>
      </c>
      <c r="P849" s="203">
        <f t="shared" si="208"/>
        <v>500</v>
      </c>
    </row>
    <row r="850" spans="1:16" ht="15" hidden="1" customHeight="1" outlineLevel="1" x14ac:dyDescent="0.25">
      <c r="A850" s="39" t="s">
        <v>11</v>
      </c>
      <c r="B850" s="46" t="s">
        <v>516</v>
      </c>
      <c r="C850" s="171"/>
      <c r="D850" s="47" t="s">
        <v>103</v>
      </c>
      <c r="E850" s="39" t="s">
        <v>14</v>
      </c>
      <c r="F850" s="39" t="s">
        <v>345</v>
      </c>
      <c r="G850" s="39" t="s">
        <v>370</v>
      </c>
      <c r="H850" s="42">
        <v>33.57</v>
      </c>
      <c r="I850" s="42">
        <v>0</v>
      </c>
      <c r="J850" s="42">
        <v>100</v>
      </c>
      <c r="K850" s="42">
        <v>100</v>
      </c>
      <c r="L850" s="42">
        <v>0</v>
      </c>
      <c r="M850" s="42">
        <v>0</v>
      </c>
      <c r="N850" s="42">
        <v>100</v>
      </c>
      <c r="O850" s="42">
        <f t="shared" si="207"/>
        <v>100</v>
      </c>
      <c r="P850" s="203">
        <f t="shared" si="208"/>
        <v>100</v>
      </c>
    </row>
    <row r="851" spans="1:16" ht="15" hidden="1" customHeight="1" outlineLevel="1" x14ac:dyDescent="0.25">
      <c r="A851" s="39"/>
      <c r="B851" s="46"/>
      <c r="C851" s="171"/>
      <c r="D851" s="47" t="s">
        <v>103</v>
      </c>
      <c r="E851" s="39" t="s">
        <v>17</v>
      </c>
      <c r="F851" s="39" t="s">
        <v>345</v>
      </c>
      <c r="G851" s="39" t="s">
        <v>370</v>
      </c>
      <c r="H851" s="42">
        <v>162.36000000000001</v>
      </c>
      <c r="I851" s="42">
        <v>0</v>
      </c>
      <c r="J851" s="42">
        <v>100</v>
      </c>
      <c r="K851" s="42">
        <v>100</v>
      </c>
      <c r="L851" s="42">
        <v>33</v>
      </c>
      <c r="M851" s="42">
        <v>34.700000000000003</v>
      </c>
      <c r="N851" s="42">
        <v>250</v>
      </c>
      <c r="O851" s="42">
        <f t="shared" si="207"/>
        <v>250</v>
      </c>
      <c r="P851" s="203">
        <f t="shared" si="208"/>
        <v>250</v>
      </c>
    </row>
    <row r="852" spans="1:16" ht="15" customHeight="1" collapsed="1" x14ac:dyDescent="0.25">
      <c r="A852" s="39" t="s">
        <v>11</v>
      </c>
      <c r="B852" s="46" t="s">
        <v>516</v>
      </c>
      <c r="C852" s="171"/>
      <c r="D852" s="47" t="s">
        <v>470</v>
      </c>
      <c r="E852" s="39"/>
      <c r="F852" s="39"/>
      <c r="G852" s="39" t="s">
        <v>471</v>
      </c>
      <c r="H852" s="24">
        <f>SUM(H843:H851)</f>
        <v>3254.29</v>
      </c>
      <c r="I852" s="24">
        <f t="shared" ref="I852:P852" si="215">SUM(I843:I851)</f>
        <v>5500.9900000000007</v>
      </c>
      <c r="J852" s="24">
        <f t="shared" si="215"/>
        <v>2450</v>
      </c>
      <c r="K852" s="24">
        <f t="shared" si="215"/>
        <v>2450</v>
      </c>
      <c r="L852" s="24">
        <f t="shared" si="215"/>
        <v>1013</v>
      </c>
      <c r="M852" s="24">
        <f t="shared" si="215"/>
        <v>996.31</v>
      </c>
      <c r="N852" s="24">
        <f t="shared" si="215"/>
        <v>2514</v>
      </c>
      <c r="O852" s="24">
        <f t="shared" si="215"/>
        <v>2514</v>
      </c>
      <c r="P852" s="215">
        <f t="shared" si="215"/>
        <v>2514</v>
      </c>
    </row>
    <row r="853" spans="1:16" ht="15" hidden="1" customHeight="1" outlineLevel="1" x14ac:dyDescent="0.25">
      <c r="A853" s="39" t="s">
        <v>11</v>
      </c>
      <c r="B853" s="46" t="s">
        <v>516</v>
      </c>
      <c r="C853" s="171"/>
      <c r="D853" s="47" t="s">
        <v>110</v>
      </c>
      <c r="E853" s="39" t="s">
        <v>17</v>
      </c>
      <c r="F853" s="39" t="s">
        <v>345</v>
      </c>
      <c r="G853" s="39" t="s">
        <v>375</v>
      </c>
      <c r="H853" s="42">
        <v>0</v>
      </c>
      <c r="I853" s="42">
        <v>0</v>
      </c>
      <c r="J853" s="42">
        <v>300</v>
      </c>
      <c r="K853" s="42">
        <v>100</v>
      </c>
      <c r="L853" s="42">
        <v>0</v>
      </c>
      <c r="M853" s="42">
        <v>0</v>
      </c>
      <c r="N853" s="42">
        <v>100</v>
      </c>
      <c r="O853" s="42">
        <f t="shared" si="207"/>
        <v>100</v>
      </c>
      <c r="P853" s="203">
        <f t="shared" si="208"/>
        <v>100</v>
      </c>
    </row>
    <row r="854" spans="1:16" ht="15" hidden="1" customHeight="1" outlineLevel="1" x14ac:dyDescent="0.25">
      <c r="A854" s="39" t="s">
        <v>11</v>
      </c>
      <c r="B854" s="46" t="s">
        <v>516</v>
      </c>
      <c r="C854" s="171"/>
      <c r="D854" s="47" t="s">
        <v>112</v>
      </c>
      <c r="E854" s="39" t="s">
        <v>17</v>
      </c>
      <c r="F854" s="39" t="s">
        <v>345</v>
      </c>
      <c r="G854" s="39" t="s">
        <v>377</v>
      </c>
      <c r="H854" s="42">
        <v>45.6</v>
      </c>
      <c r="I854" s="42">
        <v>0</v>
      </c>
      <c r="J854" s="42">
        <v>0</v>
      </c>
      <c r="K854" s="42">
        <v>0</v>
      </c>
      <c r="L854" s="42">
        <v>0</v>
      </c>
      <c r="M854" s="42">
        <v>0</v>
      </c>
      <c r="N854" s="42">
        <v>200</v>
      </c>
      <c r="O854" s="42">
        <f t="shared" si="207"/>
        <v>200</v>
      </c>
      <c r="P854" s="203">
        <f t="shared" si="208"/>
        <v>200</v>
      </c>
    </row>
    <row r="855" spans="1:16" hidden="1" outlineLevel="1" collapsed="1" x14ac:dyDescent="0.25">
      <c r="A855" s="39" t="s">
        <v>11</v>
      </c>
      <c r="B855" s="46" t="s">
        <v>516</v>
      </c>
      <c r="C855" s="171"/>
      <c r="D855" s="47" t="s">
        <v>114</v>
      </c>
      <c r="E855" s="39" t="s">
        <v>17</v>
      </c>
      <c r="F855" s="39" t="s">
        <v>345</v>
      </c>
      <c r="G855" s="39" t="s">
        <v>378</v>
      </c>
      <c r="H855" s="42">
        <v>129.76</v>
      </c>
      <c r="I855" s="42">
        <v>159.19999999999999</v>
      </c>
      <c r="J855" s="42">
        <v>100</v>
      </c>
      <c r="K855" s="42">
        <v>300</v>
      </c>
      <c r="L855" s="42">
        <v>300</v>
      </c>
      <c r="M855" s="42">
        <v>256.36</v>
      </c>
      <c r="N855" s="42">
        <v>100</v>
      </c>
      <c r="O855" s="42">
        <f t="shared" si="207"/>
        <v>100</v>
      </c>
      <c r="P855" s="203">
        <f t="shared" si="208"/>
        <v>100</v>
      </c>
    </row>
    <row r="856" spans="1:16" ht="15" hidden="1" customHeight="1" outlineLevel="1" x14ac:dyDescent="0.25">
      <c r="A856" s="39"/>
      <c r="B856" s="46"/>
      <c r="C856" s="171"/>
      <c r="D856" s="47" t="s">
        <v>116</v>
      </c>
      <c r="E856" s="39" t="s">
        <v>17</v>
      </c>
      <c r="F856" s="39" t="s">
        <v>345</v>
      </c>
      <c r="G856" s="39" t="s">
        <v>380</v>
      </c>
      <c r="H856" s="42">
        <v>0</v>
      </c>
      <c r="I856" s="42">
        <v>184.9</v>
      </c>
      <c r="J856" s="42">
        <v>150</v>
      </c>
      <c r="K856" s="42">
        <v>150</v>
      </c>
      <c r="L856" s="42">
        <v>180</v>
      </c>
      <c r="M856" s="42">
        <v>150</v>
      </c>
      <c r="N856" s="42">
        <v>150</v>
      </c>
      <c r="O856" s="42">
        <f t="shared" si="207"/>
        <v>150</v>
      </c>
      <c r="P856" s="203">
        <f t="shared" si="208"/>
        <v>150</v>
      </c>
    </row>
    <row r="857" spans="1:16" ht="15" customHeight="1" collapsed="1" x14ac:dyDescent="0.25">
      <c r="A857" s="39" t="s">
        <v>11</v>
      </c>
      <c r="B857" s="46" t="s">
        <v>516</v>
      </c>
      <c r="C857" s="171"/>
      <c r="D857" s="47" t="s">
        <v>473</v>
      </c>
      <c r="E857" s="39"/>
      <c r="F857" s="39"/>
      <c r="G857" s="39" t="s">
        <v>568</v>
      </c>
      <c r="H857" s="24">
        <f>SUM(H853:H856)</f>
        <v>175.35999999999999</v>
      </c>
      <c r="I857" s="24">
        <f t="shared" ref="I857:P857" si="216">SUM(I853:I856)</f>
        <v>344.1</v>
      </c>
      <c r="J857" s="24">
        <f t="shared" si="216"/>
        <v>550</v>
      </c>
      <c r="K857" s="24">
        <f t="shared" si="216"/>
        <v>550</v>
      </c>
      <c r="L857" s="24">
        <f t="shared" si="216"/>
        <v>480</v>
      </c>
      <c r="M857" s="24">
        <f t="shared" si="216"/>
        <v>406.36</v>
      </c>
      <c r="N857" s="24">
        <f t="shared" si="216"/>
        <v>550</v>
      </c>
      <c r="O857" s="24">
        <f t="shared" si="216"/>
        <v>550</v>
      </c>
      <c r="P857" s="215">
        <f t="shared" si="216"/>
        <v>550</v>
      </c>
    </row>
    <row r="858" spans="1:16" ht="15" hidden="1" customHeight="1" outlineLevel="1" x14ac:dyDescent="0.25">
      <c r="A858" s="39" t="s">
        <v>11</v>
      </c>
      <c r="B858" s="46" t="s">
        <v>516</v>
      </c>
      <c r="C858" s="171"/>
      <c r="D858" s="47" t="s">
        <v>128</v>
      </c>
      <c r="E858" s="39" t="s">
        <v>17</v>
      </c>
      <c r="F858" s="39" t="s">
        <v>345</v>
      </c>
      <c r="G858" s="39" t="s">
        <v>382</v>
      </c>
      <c r="H858" s="42">
        <v>180</v>
      </c>
      <c r="I858" s="42">
        <v>0</v>
      </c>
      <c r="J858" s="42">
        <v>50</v>
      </c>
      <c r="K858" s="42">
        <v>50</v>
      </c>
      <c r="L858" s="42">
        <v>12</v>
      </c>
      <c r="M858" s="42">
        <v>11.75</v>
      </c>
      <c r="N858" s="42">
        <v>50</v>
      </c>
      <c r="O858" s="42">
        <f t="shared" si="207"/>
        <v>50</v>
      </c>
      <c r="P858" s="203">
        <f t="shared" si="208"/>
        <v>50</v>
      </c>
    </row>
    <row r="859" spans="1:16" ht="15" hidden="1" customHeight="1" outlineLevel="1" x14ac:dyDescent="0.25">
      <c r="A859" s="39" t="s">
        <v>11</v>
      </c>
      <c r="B859" s="46" t="s">
        <v>516</v>
      </c>
      <c r="C859" s="171"/>
      <c r="D859" s="47" t="s">
        <v>135</v>
      </c>
      <c r="E859" s="39" t="s">
        <v>17</v>
      </c>
      <c r="F859" s="39" t="s">
        <v>345</v>
      </c>
      <c r="G859" s="39" t="s">
        <v>384</v>
      </c>
      <c r="H859" s="42">
        <v>432.92</v>
      </c>
      <c r="I859" s="42">
        <v>1636.22</v>
      </c>
      <c r="J859" s="42">
        <v>500</v>
      </c>
      <c r="K859" s="42">
        <v>500</v>
      </c>
      <c r="L859" s="42">
        <v>450</v>
      </c>
      <c r="M859" s="42">
        <v>466.88</v>
      </c>
      <c r="N859" s="42">
        <v>500</v>
      </c>
      <c r="O859" s="42">
        <f t="shared" si="207"/>
        <v>500</v>
      </c>
      <c r="P859" s="203">
        <f t="shared" si="208"/>
        <v>500</v>
      </c>
    </row>
    <row r="860" spans="1:16" hidden="1" outlineLevel="1" collapsed="1" x14ac:dyDescent="0.25">
      <c r="A860" s="39" t="s">
        <v>11</v>
      </c>
      <c r="B860" s="46" t="s">
        <v>516</v>
      </c>
      <c r="C860" s="171"/>
      <c r="D860" s="47" t="s">
        <v>151</v>
      </c>
      <c r="E860" s="39" t="s">
        <v>17</v>
      </c>
      <c r="F860" s="39" t="s">
        <v>345</v>
      </c>
      <c r="G860" s="39" t="s">
        <v>387</v>
      </c>
      <c r="H860" s="42">
        <v>1052.2</v>
      </c>
      <c r="I860" s="42">
        <v>950.1</v>
      </c>
      <c r="J860" s="42">
        <v>1000</v>
      </c>
      <c r="K860" s="42">
        <v>1000</v>
      </c>
      <c r="L860" s="42">
        <v>910</v>
      </c>
      <c r="M860" s="42">
        <v>816</v>
      </c>
      <c r="N860" s="42">
        <v>1000</v>
      </c>
      <c r="O860" s="42">
        <f t="shared" si="207"/>
        <v>1000</v>
      </c>
      <c r="P860" s="203">
        <f t="shared" si="208"/>
        <v>1000</v>
      </c>
    </row>
    <row r="861" spans="1:16" ht="15.75" hidden="1" customHeight="1" outlineLevel="1" x14ac:dyDescent="0.25">
      <c r="A861" s="39" t="s">
        <v>11</v>
      </c>
      <c r="B861" s="46" t="s">
        <v>516</v>
      </c>
      <c r="C861" s="171"/>
      <c r="D861" s="47" t="s">
        <v>153</v>
      </c>
      <c r="E861" s="39" t="s">
        <v>14</v>
      </c>
      <c r="F861" s="39" t="s">
        <v>345</v>
      </c>
      <c r="G861" s="39" t="s">
        <v>388</v>
      </c>
      <c r="H861" s="42">
        <v>16.88</v>
      </c>
      <c r="I861" s="42">
        <v>65.52</v>
      </c>
      <c r="J861" s="42">
        <v>0</v>
      </c>
      <c r="K861" s="42">
        <v>0</v>
      </c>
      <c r="L861" s="42">
        <v>20</v>
      </c>
      <c r="M861" s="42">
        <v>14.79</v>
      </c>
      <c r="N861" s="42">
        <v>0</v>
      </c>
      <c r="O861" s="42">
        <f t="shared" si="207"/>
        <v>0</v>
      </c>
      <c r="P861" s="203">
        <f t="shared" si="208"/>
        <v>0</v>
      </c>
    </row>
    <row r="862" spans="1:16" ht="15" hidden="1" customHeight="1" outlineLevel="1" x14ac:dyDescent="0.25">
      <c r="A862" s="39" t="s">
        <v>11</v>
      </c>
      <c r="B862" s="46" t="s">
        <v>516</v>
      </c>
      <c r="C862" s="171"/>
      <c r="D862" s="47" t="s">
        <v>153</v>
      </c>
      <c r="E862" s="39" t="s">
        <v>17</v>
      </c>
      <c r="F862" s="39" t="s">
        <v>345</v>
      </c>
      <c r="G862" s="39" t="s">
        <v>390</v>
      </c>
      <c r="H862" s="42">
        <v>82.8</v>
      </c>
      <c r="I862" s="42">
        <v>76.599999999999994</v>
      </c>
      <c r="J862" s="42">
        <v>90</v>
      </c>
      <c r="K862" s="42">
        <v>90</v>
      </c>
      <c r="L862" s="42">
        <v>80</v>
      </c>
      <c r="M862" s="42">
        <v>76.599999999999994</v>
      </c>
      <c r="N862" s="42">
        <v>200</v>
      </c>
      <c r="O862" s="42">
        <f t="shared" si="207"/>
        <v>200</v>
      </c>
      <c r="P862" s="203">
        <f t="shared" si="208"/>
        <v>200</v>
      </c>
    </row>
    <row r="863" spans="1:16" ht="15" hidden="1" customHeight="1" outlineLevel="1" x14ac:dyDescent="0.25">
      <c r="A863" s="39"/>
      <c r="B863" s="46" t="s">
        <v>563</v>
      </c>
      <c r="C863" s="171"/>
      <c r="D863" s="47" t="s">
        <v>153</v>
      </c>
      <c r="E863" s="39" t="s">
        <v>17</v>
      </c>
      <c r="F863" s="39" t="s">
        <v>345</v>
      </c>
      <c r="G863" s="39" t="s">
        <v>391</v>
      </c>
      <c r="H863" s="42">
        <v>99.72</v>
      </c>
      <c r="I863" s="42">
        <v>0</v>
      </c>
      <c r="J863" s="42">
        <v>60</v>
      </c>
      <c r="K863" s="42">
        <v>60</v>
      </c>
      <c r="L863" s="42">
        <v>50</v>
      </c>
      <c r="M863" s="42">
        <v>72.31</v>
      </c>
      <c r="N863" s="42">
        <v>50</v>
      </c>
      <c r="O863" s="42">
        <f t="shared" si="207"/>
        <v>50</v>
      </c>
      <c r="P863" s="203">
        <f t="shared" si="208"/>
        <v>50</v>
      </c>
    </row>
    <row r="864" spans="1:16" ht="15" hidden="1" customHeight="1" outlineLevel="1" x14ac:dyDescent="0.25">
      <c r="A864" s="39" t="s">
        <v>11</v>
      </c>
      <c r="B864" s="46" t="s">
        <v>516</v>
      </c>
      <c r="C864" s="171"/>
      <c r="D864" s="47" t="s">
        <v>151</v>
      </c>
      <c r="E864" s="39" t="s">
        <v>17</v>
      </c>
      <c r="F864" s="39" t="s">
        <v>345</v>
      </c>
      <c r="G864" s="39" t="s">
        <v>564</v>
      </c>
      <c r="H864" s="42"/>
      <c r="I864" s="42">
        <v>0</v>
      </c>
      <c r="J864" s="42">
        <v>0</v>
      </c>
      <c r="K864" s="42">
        <v>0</v>
      </c>
      <c r="L864" s="42">
        <v>0</v>
      </c>
      <c r="M864" s="42">
        <v>0</v>
      </c>
      <c r="N864" s="42">
        <v>0</v>
      </c>
      <c r="O864" s="42">
        <f t="shared" si="207"/>
        <v>0</v>
      </c>
      <c r="P864" s="203">
        <f t="shared" si="208"/>
        <v>0</v>
      </c>
    </row>
    <row r="865" spans="1:20" ht="15" hidden="1" customHeight="1" outlineLevel="1" x14ac:dyDescent="0.25">
      <c r="A865" s="39"/>
      <c r="B865" s="46"/>
      <c r="C865" s="171"/>
      <c r="D865" s="47" t="s">
        <v>155</v>
      </c>
      <c r="E865" s="39" t="s">
        <v>17</v>
      </c>
      <c r="F865" s="39" t="s">
        <v>345</v>
      </c>
      <c r="G865" s="39" t="s">
        <v>393</v>
      </c>
      <c r="H865" s="42">
        <v>670.57</v>
      </c>
      <c r="I865" s="42">
        <v>812.01</v>
      </c>
      <c r="J865" s="42">
        <v>965</v>
      </c>
      <c r="K865" s="42">
        <v>965</v>
      </c>
      <c r="L865" s="42">
        <v>652.87</v>
      </c>
      <c r="M865" s="42">
        <v>502.87</v>
      </c>
      <c r="N865" s="42">
        <v>700</v>
      </c>
      <c r="O865" s="42">
        <f t="shared" si="207"/>
        <v>700</v>
      </c>
      <c r="P865" s="203">
        <f t="shared" si="208"/>
        <v>700</v>
      </c>
    </row>
    <row r="866" spans="1:20" ht="15" customHeight="1" collapsed="1" thickBot="1" x14ac:dyDescent="0.3">
      <c r="A866" s="39"/>
      <c r="B866" s="46"/>
      <c r="C866" s="171"/>
      <c r="D866" s="47" t="s">
        <v>478</v>
      </c>
      <c r="E866" s="39"/>
      <c r="F866" s="39"/>
      <c r="G866" s="39" t="s">
        <v>479</v>
      </c>
      <c r="H866" s="24">
        <f>SUM(H858:H865)</f>
        <v>2535.09</v>
      </c>
      <c r="I866" s="24">
        <f t="shared" ref="I866:P866" si="217">SUM(I858:I865)</f>
        <v>3540.45</v>
      </c>
      <c r="J866" s="24">
        <f t="shared" si="217"/>
        <v>2665</v>
      </c>
      <c r="K866" s="24">
        <f t="shared" si="217"/>
        <v>2665</v>
      </c>
      <c r="L866" s="24">
        <f t="shared" si="217"/>
        <v>2174.87</v>
      </c>
      <c r="M866" s="24">
        <f t="shared" si="217"/>
        <v>1961.1999999999998</v>
      </c>
      <c r="N866" s="24">
        <f t="shared" si="217"/>
        <v>2500</v>
      </c>
      <c r="O866" s="24">
        <f t="shared" si="217"/>
        <v>2500</v>
      </c>
      <c r="P866" s="215">
        <f t="shared" si="217"/>
        <v>2500</v>
      </c>
    </row>
    <row r="867" spans="1:20" ht="15" customHeight="1" thickBot="1" x14ac:dyDescent="0.3">
      <c r="A867" s="39"/>
      <c r="B867" s="46"/>
      <c r="C867" s="171"/>
      <c r="D867" s="84" t="s">
        <v>593</v>
      </c>
      <c r="E867" s="96"/>
      <c r="F867" s="96"/>
      <c r="G867" s="85" t="s">
        <v>663</v>
      </c>
      <c r="H867" s="86">
        <f>H817+H834+H837+H842+H852+H857+H866</f>
        <v>93147.079999999987</v>
      </c>
      <c r="I867" s="86">
        <f>I866+I857+I852+I842+I837+I834+I817</f>
        <v>103535.33</v>
      </c>
      <c r="J867" s="86">
        <f>J866+J857+J852+J842+J837+J834+J817</f>
        <v>113319</v>
      </c>
      <c r="K867" s="86">
        <f>K866+K857+K852+K849+K833+K825+K823+K807</f>
        <v>24705</v>
      </c>
      <c r="L867" s="86">
        <f>L866+L857+L852+L842+L834+L837+L817</f>
        <v>102256.16</v>
      </c>
      <c r="M867" s="86">
        <f>M866+M857+M852+M849+M833+M825+M823+M807</f>
        <v>16453.449999999997</v>
      </c>
      <c r="N867" s="86">
        <f>N866+N857+N852+N842+N837+N834++N817</f>
        <v>132154</v>
      </c>
      <c r="O867" s="86">
        <f>O817+O834+O866+O857+O852+O842+O837</f>
        <v>132154</v>
      </c>
      <c r="P867" s="87">
        <f>P817+P866+P857+P852+P842+P837+P834</f>
        <v>132154</v>
      </c>
    </row>
    <row r="868" spans="1:20" s="193" customFormat="1" ht="15" customHeight="1" thickBot="1" x14ac:dyDescent="0.3">
      <c r="A868" s="190"/>
      <c r="B868" s="190"/>
      <c r="C868" s="191" t="s">
        <v>394</v>
      </c>
      <c r="D868" s="192"/>
      <c r="E868" s="79"/>
      <c r="F868" s="79"/>
      <c r="G868" s="51" t="s">
        <v>742</v>
      </c>
      <c r="H868" s="52">
        <v>0</v>
      </c>
      <c r="I868" s="52">
        <v>840</v>
      </c>
      <c r="J868" s="52">
        <v>0</v>
      </c>
      <c r="K868" s="52">
        <v>0</v>
      </c>
      <c r="L868" s="52">
        <v>0</v>
      </c>
      <c r="M868" s="52">
        <v>0</v>
      </c>
      <c r="N868" s="52">
        <v>0</v>
      </c>
      <c r="O868" s="52">
        <v>0</v>
      </c>
      <c r="P868" s="53">
        <v>0</v>
      </c>
    </row>
    <row r="869" spans="1:20" ht="30.75" thickBot="1" x14ac:dyDescent="0.3">
      <c r="A869" s="179"/>
      <c r="B869" s="179"/>
      <c r="C869" s="161" t="s">
        <v>565</v>
      </c>
      <c r="D869" s="186"/>
      <c r="E869" s="187"/>
      <c r="F869" s="188"/>
      <c r="G869" s="188" t="s">
        <v>664</v>
      </c>
      <c r="H869" s="188">
        <f>H873+H872+H871+H870</f>
        <v>10538.71</v>
      </c>
      <c r="I869" s="188">
        <f t="shared" ref="I869:P869" si="218">I873+I872+I871+I870</f>
        <v>8824.1899999999987</v>
      </c>
      <c r="J869" s="188">
        <f t="shared" si="218"/>
        <v>10000</v>
      </c>
      <c r="K869" s="188">
        <f t="shared" si="218"/>
        <v>19003</v>
      </c>
      <c r="L869" s="188">
        <f t="shared" si="218"/>
        <v>13332.66</v>
      </c>
      <c r="M869" s="188">
        <f t="shared" si="218"/>
        <v>8128.9</v>
      </c>
      <c r="N869" s="188">
        <f t="shared" si="218"/>
        <v>10000</v>
      </c>
      <c r="O869" s="188">
        <f t="shared" si="218"/>
        <v>10000</v>
      </c>
      <c r="P869" s="226">
        <f t="shared" si="218"/>
        <v>10000</v>
      </c>
    </row>
    <row r="870" spans="1:20" hidden="1" outlineLevel="1" x14ac:dyDescent="0.25">
      <c r="A870" s="121"/>
      <c r="B870" s="121"/>
      <c r="C870" s="202" t="s">
        <v>395</v>
      </c>
      <c r="D870" s="39" t="s">
        <v>107</v>
      </c>
      <c r="E870" s="39" t="s">
        <v>17</v>
      </c>
      <c r="F870" s="39" t="s">
        <v>396</v>
      </c>
      <c r="G870" s="39" t="s">
        <v>108</v>
      </c>
      <c r="H870" s="42">
        <v>0</v>
      </c>
      <c r="I870" s="42">
        <v>4211.8999999999996</v>
      </c>
      <c r="J870" s="42">
        <v>0</v>
      </c>
      <c r="K870" s="42">
        <v>1350</v>
      </c>
      <c r="L870" s="42">
        <v>1332.66</v>
      </c>
      <c r="M870" s="42">
        <v>1332.66</v>
      </c>
      <c r="N870" s="42">
        <v>0</v>
      </c>
      <c r="O870" s="42">
        <f t="shared" ref="O870:O872" si="219">N870</f>
        <v>0</v>
      </c>
      <c r="P870" s="203">
        <f t="shared" ref="P870:P872" si="220">N870</f>
        <v>0</v>
      </c>
    </row>
    <row r="871" spans="1:20" hidden="1" outlineLevel="1" x14ac:dyDescent="0.25">
      <c r="A871" s="121"/>
      <c r="B871" s="121"/>
      <c r="C871" s="202" t="s">
        <v>395</v>
      </c>
      <c r="D871" s="39" t="s">
        <v>137</v>
      </c>
      <c r="E871" s="39" t="s">
        <v>17</v>
      </c>
      <c r="F871" s="39" t="s">
        <v>396</v>
      </c>
      <c r="G871" s="39" t="s">
        <v>228</v>
      </c>
      <c r="H871" s="42">
        <v>0</v>
      </c>
      <c r="I871" s="42">
        <v>0</v>
      </c>
      <c r="J871" s="42">
        <v>0</v>
      </c>
      <c r="K871" s="42">
        <v>0</v>
      </c>
      <c r="L871" s="42">
        <v>0</v>
      </c>
      <c r="M871" s="42">
        <v>0</v>
      </c>
      <c r="N871" s="42">
        <v>0</v>
      </c>
      <c r="O871" s="42">
        <f t="shared" si="219"/>
        <v>0</v>
      </c>
      <c r="P871" s="203">
        <f t="shared" si="220"/>
        <v>0</v>
      </c>
    </row>
    <row r="872" spans="1:20" hidden="1" outlineLevel="1" x14ac:dyDescent="0.25">
      <c r="A872" s="121"/>
      <c r="B872" s="121"/>
      <c r="C872" s="202" t="s">
        <v>395</v>
      </c>
      <c r="D872" s="39" t="s">
        <v>283</v>
      </c>
      <c r="E872" s="39" t="s">
        <v>17</v>
      </c>
      <c r="F872" s="39" t="s">
        <v>396</v>
      </c>
      <c r="G872" s="39" t="s">
        <v>397</v>
      </c>
      <c r="H872" s="42">
        <v>10538.71</v>
      </c>
      <c r="I872" s="42">
        <v>4612.29</v>
      </c>
      <c r="J872" s="42">
        <v>10000</v>
      </c>
      <c r="K872" s="42">
        <v>13653</v>
      </c>
      <c r="L872" s="42">
        <v>12000</v>
      </c>
      <c r="M872" s="42">
        <v>5660.44</v>
      </c>
      <c r="N872" s="42">
        <v>10000</v>
      </c>
      <c r="O872" s="42">
        <f t="shared" si="219"/>
        <v>10000</v>
      </c>
      <c r="P872" s="203">
        <f t="shared" si="220"/>
        <v>10000</v>
      </c>
    </row>
    <row r="873" spans="1:20" ht="15.75" hidden="1" outlineLevel="1" thickBot="1" x14ac:dyDescent="0.3">
      <c r="C873" s="227" t="s">
        <v>395</v>
      </c>
      <c r="D873" s="7" t="s">
        <v>453</v>
      </c>
      <c r="E873" s="7" t="s">
        <v>17</v>
      </c>
      <c r="F873" s="7" t="s">
        <v>396</v>
      </c>
      <c r="G873" s="7" t="s">
        <v>454</v>
      </c>
      <c r="H873" s="8">
        <v>0</v>
      </c>
      <c r="I873" s="8">
        <v>0</v>
      </c>
      <c r="J873" s="8">
        <v>0</v>
      </c>
      <c r="K873" s="8">
        <v>4000</v>
      </c>
      <c r="L873" s="8">
        <v>0</v>
      </c>
      <c r="M873" s="8">
        <v>1135.8</v>
      </c>
      <c r="N873" s="8">
        <v>0</v>
      </c>
      <c r="O873" s="8">
        <v>0</v>
      </c>
      <c r="P873" s="216">
        <v>0</v>
      </c>
    </row>
    <row r="874" spans="1:20" ht="30.75" collapsed="1" thickBot="1" x14ac:dyDescent="0.3">
      <c r="A874" s="1" t="s">
        <v>11</v>
      </c>
      <c r="B874" s="13" t="s">
        <v>519</v>
      </c>
      <c r="C874" s="161" t="s">
        <v>665</v>
      </c>
      <c r="D874" s="162"/>
      <c r="E874" s="163"/>
      <c r="F874" s="164"/>
      <c r="G874" s="164" t="s">
        <v>666</v>
      </c>
      <c r="H874" s="164">
        <f>H917</f>
        <v>51790.76</v>
      </c>
      <c r="I874" s="164">
        <f t="shared" ref="I874:P874" si="221">I917</f>
        <v>85541.87999999999</v>
      </c>
      <c r="J874" s="164">
        <f t="shared" si="221"/>
        <v>99242</v>
      </c>
      <c r="K874" s="164">
        <f t="shared" si="221"/>
        <v>94464.320000000007</v>
      </c>
      <c r="L874" s="164">
        <f t="shared" si="221"/>
        <v>90682.076000000001</v>
      </c>
      <c r="M874" s="164">
        <f t="shared" si="221"/>
        <v>73568.69</v>
      </c>
      <c r="N874" s="164">
        <f t="shared" si="221"/>
        <v>111878</v>
      </c>
      <c r="O874" s="164">
        <f t="shared" si="221"/>
        <v>111878</v>
      </c>
      <c r="P874" s="165">
        <f t="shared" si="221"/>
        <v>111878</v>
      </c>
    </row>
    <row r="875" spans="1:20" hidden="1" outlineLevel="1" x14ac:dyDescent="0.25">
      <c r="A875" s="39"/>
      <c r="B875" s="46" t="s">
        <v>519</v>
      </c>
      <c r="C875" s="202" t="s">
        <v>398</v>
      </c>
      <c r="D875" s="39" t="s">
        <v>13</v>
      </c>
      <c r="E875" s="39" t="s">
        <v>17</v>
      </c>
      <c r="F875" s="39" t="s">
        <v>399</v>
      </c>
      <c r="G875" s="39" t="s">
        <v>19</v>
      </c>
      <c r="H875" s="42">
        <v>32783.97</v>
      </c>
      <c r="I875" s="42">
        <v>34929.339999999997</v>
      </c>
      <c r="J875" s="42">
        <v>43395</v>
      </c>
      <c r="K875" s="42">
        <v>40150</v>
      </c>
      <c r="L875" s="42">
        <v>40451.03</v>
      </c>
      <c r="M875" s="42">
        <v>32351.03</v>
      </c>
      <c r="N875" s="42">
        <v>46432</v>
      </c>
      <c r="O875" s="42">
        <f t="shared" ref="O875:O905" si="222">N875</f>
        <v>46432</v>
      </c>
      <c r="P875" s="203">
        <f t="shared" ref="P875:P905" si="223">N875</f>
        <v>46432</v>
      </c>
    </row>
    <row r="876" spans="1:20" ht="15.75" hidden="1" outlineLevel="1" thickBot="1" x14ac:dyDescent="0.3">
      <c r="A876" s="39"/>
      <c r="B876" s="46"/>
      <c r="C876" s="204" t="s">
        <v>398</v>
      </c>
      <c r="D876" s="39" t="s">
        <v>13</v>
      </c>
      <c r="E876" s="39" t="s">
        <v>17</v>
      </c>
      <c r="F876" s="39" t="s">
        <v>399</v>
      </c>
      <c r="G876" s="39" t="s">
        <v>550</v>
      </c>
      <c r="H876" s="42">
        <v>0</v>
      </c>
      <c r="I876" s="42">
        <v>0</v>
      </c>
      <c r="J876" s="42">
        <v>0</v>
      </c>
      <c r="K876" s="42">
        <v>0</v>
      </c>
      <c r="L876" s="42">
        <v>0</v>
      </c>
      <c r="M876" s="42">
        <v>0</v>
      </c>
      <c r="N876" s="42">
        <v>1100</v>
      </c>
      <c r="O876" s="42">
        <f t="shared" si="222"/>
        <v>1100</v>
      </c>
      <c r="P876" s="203">
        <f t="shared" si="223"/>
        <v>1100</v>
      </c>
    </row>
    <row r="877" spans="1:20" collapsed="1" x14ac:dyDescent="0.25">
      <c r="A877" s="39" t="s">
        <v>11</v>
      </c>
      <c r="B877" s="46" t="s">
        <v>519</v>
      </c>
      <c r="C877" s="245"/>
      <c r="D877" s="47" t="s">
        <v>468</v>
      </c>
      <c r="E877" s="39"/>
      <c r="F877" s="39"/>
      <c r="G877" s="20" t="s">
        <v>610</v>
      </c>
      <c r="H877" s="24">
        <f>H875+H876</f>
        <v>32783.97</v>
      </c>
      <c r="I877" s="24">
        <f t="shared" ref="I877:P877" si="224">I875+I876</f>
        <v>34929.339999999997</v>
      </c>
      <c r="J877" s="24">
        <f t="shared" si="224"/>
        <v>43395</v>
      </c>
      <c r="K877" s="24">
        <f t="shared" si="224"/>
        <v>40150</v>
      </c>
      <c r="L877" s="24">
        <f t="shared" si="224"/>
        <v>40451.03</v>
      </c>
      <c r="M877" s="24">
        <f t="shared" si="224"/>
        <v>32351.03</v>
      </c>
      <c r="N877" s="24">
        <f t="shared" si="224"/>
        <v>47532</v>
      </c>
      <c r="O877" s="24">
        <f t="shared" si="224"/>
        <v>47532</v>
      </c>
      <c r="P877" s="215">
        <f t="shared" si="224"/>
        <v>47532</v>
      </c>
      <c r="T877" s="78"/>
    </row>
    <row r="878" spans="1:20" hidden="1" outlineLevel="1" x14ac:dyDescent="0.25">
      <c r="A878" s="39" t="s">
        <v>11</v>
      </c>
      <c r="B878" s="46" t="s">
        <v>519</v>
      </c>
      <c r="C878" s="246"/>
      <c r="D878" s="47" t="s">
        <v>22</v>
      </c>
      <c r="E878" s="39" t="s">
        <v>17</v>
      </c>
      <c r="F878" s="39" t="s">
        <v>399</v>
      </c>
      <c r="G878" s="39" t="s">
        <v>23</v>
      </c>
      <c r="H878" s="42">
        <v>2578.5100000000002</v>
      </c>
      <c r="I878" s="42">
        <v>3487.9</v>
      </c>
      <c r="J878" s="42">
        <v>4340</v>
      </c>
      <c r="K878" s="42">
        <v>4340</v>
      </c>
      <c r="L878" s="42">
        <v>4022.76</v>
      </c>
      <c r="M878" s="42">
        <v>3212.76</v>
      </c>
      <c r="N878" s="42">
        <v>4645</v>
      </c>
      <c r="O878" s="42">
        <f t="shared" si="222"/>
        <v>4645</v>
      </c>
      <c r="P878" s="203">
        <f t="shared" si="223"/>
        <v>4645</v>
      </c>
    </row>
    <row r="879" spans="1:20" hidden="1" outlineLevel="1" x14ac:dyDescent="0.25">
      <c r="A879" s="39" t="s">
        <v>11</v>
      </c>
      <c r="B879" s="46" t="s">
        <v>519</v>
      </c>
      <c r="C879" s="246"/>
      <c r="D879" s="47" t="s">
        <v>52</v>
      </c>
      <c r="E879" s="39" t="s">
        <v>17</v>
      </c>
      <c r="F879" s="39" t="s">
        <v>399</v>
      </c>
      <c r="G879" s="39" t="s">
        <v>53</v>
      </c>
      <c r="H879" s="42">
        <v>432</v>
      </c>
      <c r="I879" s="42">
        <v>466</v>
      </c>
      <c r="J879" s="42">
        <v>600</v>
      </c>
      <c r="K879" s="42">
        <v>600</v>
      </c>
      <c r="L879" s="42">
        <v>600</v>
      </c>
      <c r="M879" s="42">
        <v>400</v>
      </c>
      <c r="N879" s="42">
        <v>600</v>
      </c>
      <c r="O879" s="42">
        <f t="shared" si="222"/>
        <v>600</v>
      </c>
      <c r="P879" s="203">
        <f t="shared" si="223"/>
        <v>600</v>
      </c>
    </row>
    <row r="880" spans="1:20" hidden="1" outlineLevel="1" collapsed="1" x14ac:dyDescent="0.25">
      <c r="A880" s="39" t="s">
        <v>11</v>
      </c>
      <c r="B880" s="46" t="s">
        <v>519</v>
      </c>
      <c r="C880" s="246"/>
      <c r="D880" s="47" t="s">
        <v>29</v>
      </c>
      <c r="E880" s="39" t="s">
        <v>17</v>
      </c>
      <c r="F880" s="39" t="s">
        <v>399</v>
      </c>
      <c r="G880" s="39" t="s">
        <v>30</v>
      </c>
      <c r="H880" s="42">
        <v>459.72</v>
      </c>
      <c r="I880" s="42">
        <v>488.4</v>
      </c>
      <c r="J880" s="42">
        <v>607</v>
      </c>
      <c r="K880" s="42">
        <v>607</v>
      </c>
      <c r="L880" s="42">
        <v>560.16</v>
      </c>
      <c r="M880" s="42">
        <v>446.76</v>
      </c>
      <c r="N880" s="42">
        <v>655</v>
      </c>
      <c r="O880" s="42">
        <f t="shared" si="222"/>
        <v>655</v>
      </c>
      <c r="P880" s="203">
        <f t="shared" si="223"/>
        <v>655</v>
      </c>
    </row>
    <row r="881" spans="1:16" ht="15" hidden="1" customHeight="1" outlineLevel="1" x14ac:dyDescent="0.25">
      <c r="A881" s="39" t="s">
        <v>11</v>
      </c>
      <c r="B881" s="46" t="s">
        <v>519</v>
      </c>
      <c r="C881" s="246"/>
      <c r="D881" s="47" t="s">
        <v>32</v>
      </c>
      <c r="E881" s="39" t="s">
        <v>17</v>
      </c>
      <c r="F881" s="39" t="s">
        <v>399</v>
      </c>
      <c r="G881" s="39" t="s">
        <v>34</v>
      </c>
      <c r="H881" s="42">
        <v>4599.7</v>
      </c>
      <c r="I881" s="42">
        <v>4886.38</v>
      </c>
      <c r="J881" s="42">
        <v>6075</v>
      </c>
      <c r="K881" s="42">
        <v>4331</v>
      </c>
      <c r="L881" s="42">
        <v>5602.87</v>
      </c>
      <c r="M881" s="42">
        <v>4468.87</v>
      </c>
      <c r="N881" s="42">
        <v>6501</v>
      </c>
      <c r="O881" s="42">
        <f t="shared" si="222"/>
        <v>6501</v>
      </c>
      <c r="P881" s="203">
        <f t="shared" si="223"/>
        <v>6501</v>
      </c>
    </row>
    <row r="882" spans="1:16" ht="15" hidden="1" customHeight="1" outlineLevel="1" x14ac:dyDescent="0.25">
      <c r="A882" s="39" t="s">
        <v>11</v>
      </c>
      <c r="B882" s="46" t="s">
        <v>519</v>
      </c>
      <c r="C882" s="246"/>
      <c r="D882" s="47" t="s">
        <v>36</v>
      </c>
      <c r="E882" s="39" t="s">
        <v>17</v>
      </c>
      <c r="F882" s="39" t="s">
        <v>399</v>
      </c>
      <c r="G882" s="39" t="s">
        <v>38</v>
      </c>
      <c r="H882" s="42">
        <v>262.60000000000002</v>
      </c>
      <c r="I882" s="42">
        <v>279</v>
      </c>
      <c r="J882" s="42">
        <v>347</v>
      </c>
      <c r="K882" s="42">
        <v>347</v>
      </c>
      <c r="L882" s="42">
        <v>320.07</v>
      </c>
      <c r="M882" s="42">
        <v>255.27</v>
      </c>
      <c r="N882" s="42">
        <v>372</v>
      </c>
      <c r="O882" s="42">
        <f t="shared" si="222"/>
        <v>372</v>
      </c>
      <c r="P882" s="203">
        <f t="shared" si="223"/>
        <v>372</v>
      </c>
    </row>
    <row r="883" spans="1:16" ht="15" hidden="1" customHeight="1" outlineLevel="1" x14ac:dyDescent="0.25">
      <c r="A883" s="39" t="s">
        <v>11</v>
      </c>
      <c r="B883" s="46" t="s">
        <v>519</v>
      </c>
      <c r="C883" s="246"/>
      <c r="D883" s="47" t="s">
        <v>40</v>
      </c>
      <c r="E883" s="39" t="s">
        <v>17</v>
      </c>
      <c r="F883" s="39" t="s">
        <v>399</v>
      </c>
      <c r="G883" s="39" t="s">
        <v>42</v>
      </c>
      <c r="H883" s="42">
        <v>985.58</v>
      </c>
      <c r="I883" s="42">
        <v>800.94</v>
      </c>
      <c r="J883" s="42">
        <v>1302</v>
      </c>
      <c r="K883" s="42">
        <v>1302</v>
      </c>
      <c r="L883" s="42">
        <v>971.3</v>
      </c>
      <c r="M883" s="42">
        <v>728.3</v>
      </c>
      <c r="N883" s="42">
        <v>1393</v>
      </c>
      <c r="O883" s="42">
        <f t="shared" si="222"/>
        <v>1393</v>
      </c>
      <c r="P883" s="203">
        <f t="shared" si="223"/>
        <v>1393</v>
      </c>
    </row>
    <row r="884" spans="1:16" ht="15" hidden="1" customHeight="1" outlineLevel="1" x14ac:dyDescent="0.25">
      <c r="A884" s="39" t="s">
        <v>11</v>
      </c>
      <c r="B884" s="46" t="s">
        <v>519</v>
      </c>
      <c r="C884" s="246"/>
      <c r="D884" s="47" t="s">
        <v>44</v>
      </c>
      <c r="E884" s="39" t="s">
        <v>17</v>
      </c>
      <c r="F884" s="39" t="s">
        <v>399</v>
      </c>
      <c r="G884" s="39" t="s">
        <v>46</v>
      </c>
      <c r="H884" s="42">
        <v>328.48</v>
      </c>
      <c r="I884" s="42">
        <v>266.92</v>
      </c>
      <c r="J884" s="42">
        <v>434</v>
      </c>
      <c r="K884" s="42">
        <v>434</v>
      </c>
      <c r="L884" s="42">
        <v>323.71000000000004</v>
      </c>
      <c r="M884" s="42">
        <v>242.71</v>
      </c>
      <c r="N884" s="42">
        <v>465</v>
      </c>
      <c r="O884" s="42">
        <f t="shared" si="222"/>
        <v>465</v>
      </c>
      <c r="P884" s="203">
        <f t="shared" si="223"/>
        <v>465</v>
      </c>
    </row>
    <row r="885" spans="1:16" ht="15" hidden="1" customHeight="1" outlineLevel="1" x14ac:dyDescent="0.25">
      <c r="A885" s="39"/>
      <c r="B885" s="46"/>
      <c r="C885" s="246"/>
      <c r="D885" s="47" t="s">
        <v>48</v>
      </c>
      <c r="E885" s="39" t="s">
        <v>17</v>
      </c>
      <c r="F885" s="39" t="s">
        <v>399</v>
      </c>
      <c r="G885" s="39" t="s">
        <v>50</v>
      </c>
      <c r="H885" s="42">
        <v>1560.39</v>
      </c>
      <c r="I885" s="42">
        <v>1657.74</v>
      </c>
      <c r="J885" s="42">
        <v>2061</v>
      </c>
      <c r="K885" s="42">
        <v>2061</v>
      </c>
      <c r="L885" s="42">
        <v>1900.76</v>
      </c>
      <c r="M885" s="42">
        <v>1516.01</v>
      </c>
      <c r="N885" s="42">
        <v>2206</v>
      </c>
      <c r="O885" s="42">
        <f t="shared" si="222"/>
        <v>2206</v>
      </c>
      <c r="P885" s="203">
        <f t="shared" si="223"/>
        <v>2206</v>
      </c>
    </row>
    <row r="886" spans="1:16" ht="15" customHeight="1" collapsed="1" x14ac:dyDescent="0.25">
      <c r="A886" s="39" t="s">
        <v>11</v>
      </c>
      <c r="B886" s="46" t="s">
        <v>519</v>
      </c>
      <c r="C886" s="246"/>
      <c r="D886" s="47" t="s">
        <v>469</v>
      </c>
      <c r="E886" s="39"/>
      <c r="F886" s="39"/>
      <c r="G886" s="39" t="s">
        <v>652</v>
      </c>
      <c r="H886" s="24">
        <f>SUM(H878:H885)</f>
        <v>11206.98</v>
      </c>
      <c r="I886" s="24">
        <f>SUM(I878:I885)</f>
        <v>12333.28</v>
      </c>
      <c r="J886" s="24">
        <f t="shared" ref="J886:P886" si="225">SUM(J878:J885)</f>
        <v>15766</v>
      </c>
      <c r="K886" s="24">
        <f t="shared" si="225"/>
        <v>14022</v>
      </c>
      <c r="L886" s="24">
        <f t="shared" si="225"/>
        <v>14301.63</v>
      </c>
      <c r="M886" s="24">
        <f t="shared" si="225"/>
        <v>11270.679999999998</v>
      </c>
      <c r="N886" s="24">
        <f t="shared" si="225"/>
        <v>16837</v>
      </c>
      <c r="O886" s="24">
        <f t="shared" si="225"/>
        <v>16837</v>
      </c>
      <c r="P886" s="215">
        <f t="shared" si="225"/>
        <v>16837</v>
      </c>
    </row>
    <row r="887" spans="1:16" ht="15" hidden="1" customHeight="1" outlineLevel="1" x14ac:dyDescent="0.25">
      <c r="A887" s="39"/>
      <c r="B887" s="46"/>
      <c r="C887" s="246"/>
      <c r="D887" s="47" t="s">
        <v>54</v>
      </c>
      <c r="E887" s="39" t="s">
        <v>17</v>
      </c>
      <c r="F887" s="39" t="s">
        <v>399</v>
      </c>
      <c r="G887" s="39" t="s">
        <v>55</v>
      </c>
      <c r="H887" s="42">
        <v>30.95</v>
      </c>
      <c r="I887" s="42">
        <v>32.700000000000003</v>
      </c>
      <c r="J887" s="42">
        <v>45</v>
      </c>
      <c r="K887" s="42">
        <v>45</v>
      </c>
      <c r="L887" s="42">
        <f t="shared" ref="L887:L900" si="226">M887/10*12</f>
        <v>0</v>
      </c>
      <c r="M887" s="42">
        <v>0</v>
      </c>
      <c r="N887" s="42">
        <v>50</v>
      </c>
      <c r="O887" s="42">
        <f t="shared" si="222"/>
        <v>50</v>
      </c>
      <c r="P887" s="203">
        <f t="shared" si="223"/>
        <v>50</v>
      </c>
    </row>
    <row r="888" spans="1:16" ht="15" customHeight="1" collapsed="1" x14ac:dyDescent="0.25">
      <c r="A888" s="39" t="s">
        <v>11</v>
      </c>
      <c r="B888" s="46" t="s">
        <v>519</v>
      </c>
      <c r="C888" s="246"/>
      <c r="D888" s="47" t="s">
        <v>480</v>
      </c>
      <c r="E888" s="39"/>
      <c r="F888" s="39"/>
      <c r="G888" s="39" t="s">
        <v>675</v>
      </c>
      <c r="H888" s="24">
        <f>SUM(H887)</f>
        <v>30.95</v>
      </c>
      <c r="I888" s="24">
        <f t="shared" ref="I888:P888" si="227">SUM(I887)</f>
        <v>32.700000000000003</v>
      </c>
      <c r="J888" s="24">
        <f t="shared" si="227"/>
        <v>45</v>
      </c>
      <c r="K888" s="24">
        <f t="shared" si="227"/>
        <v>45</v>
      </c>
      <c r="L888" s="24">
        <f t="shared" si="227"/>
        <v>0</v>
      </c>
      <c r="M888" s="24">
        <f t="shared" si="227"/>
        <v>0</v>
      </c>
      <c r="N888" s="24">
        <f t="shared" si="227"/>
        <v>50</v>
      </c>
      <c r="O888" s="24">
        <f t="shared" si="227"/>
        <v>50</v>
      </c>
      <c r="P888" s="215">
        <f t="shared" si="227"/>
        <v>50</v>
      </c>
    </row>
    <row r="889" spans="1:16" hidden="1" outlineLevel="1" collapsed="1" x14ac:dyDescent="0.25">
      <c r="A889" s="39" t="s">
        <v>11</v>
      </c>
      <c r="B889" s="46" t="s">
        <v>519</v>
      </c>
      <c r="C889" s="246"/>
      <c r="D889" s="47" t="s">
        <v>56</v>
      </c>
      <c r="E889" s="39" t="s">
        <v>17</v>
      </c>
      <c r="F889" s="39" t="s">
        <v>399</v>
      </c>
      <c r="G889" s="39" t="s">
        <v>57</v>
      </c>
      <c r="H889" s="42">
        <v>1090.8900000000001</v>
      </c>
      <c r="I889" s="42">
        <v>1420.24</v>
      </c>
      <c r="J889" s="42">
        <v>1400</v>
      </c>
      <c r="K889" s="42">
        <v>1400</v>
      </c>
      <c r="L889" s="42">
        <f t="shared" si="226"/>
        <v>1363.0680000000002</v>
      </c>
      <c r="M889" s="42">
        <v>1135.8900000000001</v>
      </c>
      <c r="N889" s="42">
        <v>1400</v>
      </c>
      <c r="O889" s="42">
        <f t="shared" si="222"/>
        <v>1400</v>
      </c>
      <c r="P889" s="203">
        <f t="shared" si="223"/>
        <v>1400</v>
      </c>
    </row>
    <row r="890" spans="1:16" ht="15" hidden="1" customHeight="1" outlineLevel="1" x14ac:dyDescent="0.25">
      <c r="A890" s="39" t="s">
        <v>11</v>
      </c>
      <c r="B890" s="46" t="s">
        <v>519</v>
      </c>
      <c r="C890" s="246"/>
      <c r="D890" s="47" t="s">
        <v>56</v>
      </c>
      <c r="E890" s="39" t="s">
        <v>17</v>
      </c>
      <c r="F890" s="39" t="s">
        <v>399</v>
      </c>
      <c r="G890" s="39" t="s">
        <v>189</v>
      </c>
      <c r="H890" s="42">
        <v>1270.46</v>
      </c>
      <c r="I890" s="42">
        <v>1330.08</v>
      </c>
      <c r="J890" s="42">
        <v>1300</v>
      </c>
      <c r="K890" s="42">
        <v>1300</v>
      </c>
      <c r="L890" s="42">
        <f t="shared" si="226"/>
        <v>1289.4479999999999</v>
      </c>
      <c r="M890" s="42">
        <v>1074.54</v>
      </c>
      <c r="N890" s="42">
        <v>1300</v>
      </c>
      <c r="O890" s="42">
        <f t="shared" si="222"/>
        <v>1300</v>
      </c>
      <c r="P890" s="203">
        <f t="shared" si="223"/>
        <v>1300</v>
      </c>
    </row>
    <row r="891" spans="1:16" hidden="1" outlineLevel="1" collapsed="1" x14ac:dyDescent="0.25">
      <c r="A891" s="39" t="s">
        <v>11</v>
      </c>
      <c r="B891" s="46" t="s">
        <v>519</v>
      </c>
      <c r="C891" s="246"/>
      <c r="D891" s="47" t="s">
        <v>65</v>
      </c>
      <c r="E891" s="39" t="s">
        <v>17</v>
      </c>
      <c r="F891" s="39" t="s">
        <v>399</v>
      </c>
      <c r="G891" s="39" t="s">
        <v>66</v>
      </c>
      <c r="H891" s="42">
        <v>899.19</v>
      </c>
      <c r="I891" s="42">
        <v>664.75</v>
      </c>
      <c r="J891" s="42">
        <v>860</v>
      </c>
      <c r="K891" s="42">
        <v>860</v>
      </c>
      <c r="L891" s="42">
        <f t="shared" si="226"/>
        <v>1093.7159999999999</v>
      </c>
      <c r="M891" s="42">
        <v>911.43</v>
      </c>
      <c r="N891" s="42">
        <v>1000</v>
      </c>
      <c r="O891" s="42">
        <f t="shared" si="222"/>
        <v>1000</v>
      </c>
      <c r="P891" s="203">
        <f t="shared" si="223"/>
        <v>1000</v>
      </c>
    </row>
    <row r="892" spans="1:16" ht="15" hidden="1" customHeight="1" outlineLevel="1" x14ac:dyDescent="0.25">
      <c r="A892" s="39" t="s">
        <v>11</v>
      </c>
      <c r="B892" s="46" t="s">
        <v>519</v>
      </c>
      <c r="C892" s="246"/>
      <c r="D892" s="47" t="s">
        <v>72</v>
      </c>
      <c r="E892" s="39" t="s">
        <v>17</v>
      </c>
      <c r="F892" s="39" t="s">
        <v>399</v>
      </c>
      <c r="G892" s="39" t="s">
        <v>73</v>
      </c>
      <c r="H892" s="42">
        <v>20.52</v>
      </c>
      <c r="I892" s="42">
        <v>2</v>
      </c>
      <c r="J892" s="42">
        <v>25</v>
      </c>
      <c r="K892" s="42">
        <v>25</v>
      </c>
      <c r="L892" s="42">
        <f t="shared" si="226"/>
        <v>0</v>
      </c>
      <c r="M892" s="42">
        <v>0</v>
      </c>
      <c r="N892" s="42">
        <v>30</v>
      </c>
      <c r="O892" s="42">
        <f t="shared" si="222"/>
        <v>30</v>
      </c>
      <c r="P892" s="203">
        <f t="shared" si="223"/>
        <v>30</v>
      </c>
    </row>
    <row r="893" spans="1:16" ht="15" hidden="1" customHeight="1" outlineLevel="1" x14ac:dyDescent="0.25">
      <c r="A893" s="39"/>
      <c r="B893" s="46"/>
      <c r="C893" s="246"/>
      <c r="D893" s="47" t="s">
        <v>74</v>
      </c>
      <c r="E893" s="39" t="s">
        <v>17</v>
      </c>
      <c r="F893" s="39" t="s">
        <v>399</v>
      </c>
      <c r="G893" s="39" t="s">
        <v>400</v>
      </c>
      <c r="H893" s="42">
        <v>178.54</v>
      </c>
      <c r="I893" s="42">
        <v>181.17</v>
      </c>
      <c r="J893" s="42">
        <v>190</v>
      </c>
      <c r="K893" s="42">
        <v>190</v>
      </c>
      <c r="L893" s="42">
        <f t="shared" si="226"/>
        <v>104.77199999999999</v>
      </c>
      <c r="M893" s="42">
        <v>87.31</v>
      </c>
      <c r="N893" s="42">
        <v>200</v>
      </c>
      <c r="O893" s="42">
        <f t="shared" si="222"/>
        <v>200</v>
      </c>
      <c r="P893" s="203">
        <f t="shared" si="223"/>
        <v>200</v>
      </c>
    </row>
    <row r="894" spans="1:16" ht="15" customHeight="1" collapsed="1" x14ac:dyDescent="0.25">
      <c r="A894" s="39" t="s">
        <v>11</v>
      </c>
      <c r="B894" s="46" t="s">
        <v>519</v>
      </c>
      <c r="C894" s="246"/>
      <c r="D894" s="47" t="s">
        <v>481</v>
      </c>
      <c r="E894" s="39"/>
      <c r="F894" s="39"/>
      <c r="G894" s="39" t="s">
        <v>567</v>
      </c>
      <c r="H894" s="24">
        <f>SUM(H889:H893)</f>
        <v>3459.6000000000004</v>
      </c>
      <c r="I894" s="24">
        <f t="shared" ref="I894:P894" si="228">SUM(I889:I893)</f>
        <v>3598.24</v>
      </c>
      <c r="J894" s="24">
        <f t="shared" si="228"/>
        <v>3775</v>
      </c>
      <c r="K894" s="24">
        <f t="shared" si="228"/>
        <v>3775</v>
      </c>
      <c r="L894" s="24">
        <f t="shared" si="228"/>
        <v>3851.0039999999999</v>
      </c>
      <c r="M894" s="24">
        <f t="shared" si="228"/>
        <v>3209.17</v>
      </c>
      <c r="N894" s="24">
        <f t="shared" si="228"/>
        <v>3930</v>
      </c>
      <c r="O894" s="24">
        <f t="shared" si="228"/>
        <v>3930</v>
      </c>
      <c r="P894" s="215">
        <f t="shared" si="228"/>
        <v>3930</v>
      </c>
    </row>
    <row r="895" spans="1:16" ht="15" hidden="1" customHeight="1" outlineLevel="1" x14ac:dyDescent="0.25">
      <c r="A895" s="39" t="s">
        <v>11</v>
      </c>
      <c r="B895" s="46" t="s">
        <v>519</v>
      </c>
      <c r="C895" s="246"/>
      <c r="D895" s="47" t="s">
        <v>77</v>
      </c>
      <c r="E895" s="39" t="s">
        <v>17</v>
      </c>
      <c r="F895" s="39" t="s">
        <v>399</v>
      </c>
      <c r="G895" s="39" t="s">
        <v>79</v>
      </c>
      <c r="H895" s="42">
        <v>0</v>
      </c>
      <c r="I895" s="42">
        <v>0</v>
      </c>
      <c r="J895" s="42">
        <v>500</v>
      </c>
      <c r="K895" s="42">
        <v>500</v>
      </c>
      <c r="L895" s="42">
        <f t="shared" si="226"/>
        <v>0</v>
      </c>
      <c r="M895" s="42">
        <v>0</v>
      </c>
      <c r="N895" s="42">
        <v>600</v>
      </c>
      <c r="O895" s="42">
        <f t="shared" si="222"/>
        <v>600</v>
      </c>
      <c r="P895" s="203">
        <f t="shared" si="223"/>
        <v>600</v>
      </c>
    </row>
    <row r="896" spans="1:16" ht="15" hidden="1" customHeight="1" outlineLevel="1" x14ac:dyDescent="0.25">
      <c r="A896" s="39"/>
      <c r="B896" s="46" t="s">
        <v>519</v>
      </c>
      <c r="C896" s="246"/>
      <c r="D896" s="47" t="s">
        <v>80</v>
      </c>
      <c r="E896" s="39" t="s">
        <v>17</v>
      </c>
      <c r="F896" s="39" t="s">
        <v>399</v>
      </c>
      <c r="G896" s="39" t="s">
        <v>401</v>
      </c>
      <c r="H896" s="42">
        <v>149</v>
      </c>
      <c r="I896" s="42">
        <v>0</v>
      </c>
      <c r="J896" s="42">
        <v>200</v>
      </c>
      <c r="K896" s="42">
        <v>200</v>
      </c>
      <c r="L896" s="42">
        <f t="shared" si="226"/>
        <v>0</v>
      </c>
      <c r="M896" s="42">
        <v>0</v>
      </c>
      <c r="N896" s="42">
        <v>200</v>
      </c>
      <c r="O896" s="42">
        <f t="shared" si="222"/>
        <v>200</v>
      </c>
      <c r="P896" s="203">
        <f t="shared" si="223"/>
        <v>200</v>
      </c>
    </row>
    <row r="897" spans="1:16" hidden="1" outlineLevel="1" collapsed="1" x14ac:dyDescent="0.25">
      <c r="A897" s="39" t="s">
        <v>11</v>
      </c>
      <c r="B897" s="46" t="s">
        <v>519</v>
      </c>
      <c r="C897" s="246"/>
      <c r="D897" s="47" t="s">
        <v>84</v>
      </c>
      <c r="E897" s="39" t="s">
        <v>17</v>
      </c>
      <c r="F897" s="39" t="s">
        <v>399</v>
      </c>
      <c r="G897" s="39" t="s">
        <v>85</v>
      </c>
      <c r="H897" s="42">
        <v>0</v>
      </c>
      <c r="I897" s="42">
        <v>0</v>
      </c>
      <c r="J897" s="42">
        <v>200</v>
      </c>
      <c r="K897" s="42">
        <v>200</v>
      </c>
      <c r="L897" s="42">
        <f t="shared" si="226"/>
        <v>0</v>
      </c>
      <c r="M897" s="42">
        <v>0</v>
      </c>
      <c r="N897" s="19">
        <v>200</v>
      </c>
      <c r="O897" s="42">
        <f t="shared" si="222"/>
        <v>200</v>
      </c>
      <c r="P897" s="203">
        <f t="shared" si="223"/>
        <v>200</v>
      </c>
    </row>
    <row r="898" spans="1:16" ht="15" hidden="1" customHeight="1" outlineLevel="1" x14ac:dyDescent="0.25">
      <c r="A898" s="39" t="s">
        <v>11</v>
      </c>
      <c r="B898" s="46" t="s">
        <v>519</v>
      </c>
      <c r="C898" s="246"/>
      <c r="D898" s="47" t="s">
        <v>88</v>
      </c>
      <c r="E898" s="39" t="s">
        <v>17</v>
      </c>
      <c r="F898" s="39" t="s">
        <v>399</v>
      </c>
      <c r="G898" s="39" t="s">
        <v>92</v>
      </c>
      <c r="H898" s="42">
        <v>38.090000000000003</v>
      </c>
      <c r="I898" s="42">
        <v>179.95</v>
      </c>
      <c r="J898" s="42">
        <v>200</v>
      </c>
      <c r="K898" s="42">
        <v>200</v>
      </c>
      <c r="L898" s="42">
        <f t="shared" si="226"/>
        <v>66.395999999999987</v>
      </c>
      <c r="M898" s="42">
        <v>55.33</v>
      </c>
      <c r="N898" s="42">
        <v>200</v>
      </c>
      <c r="O898" s="42">
        <f t="shared" si="222"/>
        <v>200</v>
      </c>
      <c r="P898" s="203">
        <f t="shared" si="223"/>
        <v>200</v>
      </c>
    </row>
    <row r="899" spans="1:16" ht="15" hidden="1" customHeight="1" outlineLevel="1" x14ac:dyDescent="0.25">
      <c r="A899" s="39" t="s">
        <v>11</v>
      </c>
      <c r="B899" s="46" t="s">
        <v>519</v>
      </c>
      <c r="C899" s="246"/>
      <c r="D899" s="47" t="s">
        <v>88</v>
      </c>
      <c r="E899" s="39" t="s">
        <v>17</v>
      </c>
      <c r="F899" s="39" t="s">
        <v>399</v>
      </c>
      <c r="G899" s="39" t="s">
        <v>402</v>
      </c>
      <c r="H899" s="42">
        <v>195.72</v>
      </c>
      <c r="I899" s="42">
        <v>226.41</v>
      </c>
      <c r="J899" s="42">
        <v>200</v>
      </c>
      <c r="K899" s="42">
        <v>200</v>
      </c>
      <c r="L899" s="42">
        <f t="shared" si="226"/>
        <v>130.68</v>
      </c>
      <c r="M899" s="42">
        <v>108.9</v>
      </c>
      <c r="N899" s="42">
        <v>200</v>
      </c>
      <c r="O899" s="42">
        <f t="shared" si="222"/>
        <v>200</v>
      </c>
      <c r="P899" s="203">
        <f t="shared" si="223"/>
        <v>200</v>
      </c>
    </row>
    <row r="900" spans="1:16" ht="15" hidden="1" customHeight="1" outlineLevel="1" x14ac:dyDescent="0.25">
      <c r="A900" s="39" t="s">
        <v>11</v>
      </c>
      <c r="B900" s="46" t="s">
        <v>519</v>
      </c>
      <c r="C900" s="246"/>
      <c r="D900" s="47" t="s">
        <v>88</v>
      </c>
      <c r="E900" s="39" t="s">
        <v>17</v>
      </c>
      <c r="F900" s="39" t="s">
        <v>399</v>
      </c>
      <c r="G900" s="39" t="s">
        <v>93</v>
      </c>
      <c r="H900" s="42">
        <v>543.57000000000005</v>
      </c>
      <c r="I900" s="42">
        <v>478.75</v>
      </c>
      <c r="J900" s="42">
        <v>600</v>
      </c>
      <c r="K900" s="42">
        <v>570</v>
      </c>
      <c r="L900" s="42">
        <f t="shared" si="226"/>
        <v>502.12800000000004</v>
      </c>
      <c r="M900" s="42">
        <v>418.44</v>
      </c>
      <c r="N900" s="42">
        <v>600</v>
      </c>
      <c r="O900" s="42">
        <f t="shared" si="222"/>
        <v>600</v>
      </c>
      <c r="P900" s="203">
        <f t="shared" si="223"/>
        <v>600</v>
      </c>
    </row>
    <row r="901" spans="1:16" ht="15" hidden="1" customHeight="1" outlineLevel="1" x14ac:dyDescent="0.25">
      <c r="A901" s="39" t="s">
        <v>11</v>
      </c>
      <c r="B901" s="46" t="s">
        <v>519</v>
      </c>
      <c r="C901" s="246"/>
      <c r="D901" s="47" t="s">
        <v>101</v>
      </c>
      <c r="E901" s="39" t="s">
        <v>17</v>
      </c>
      <c r="F901" s="39" t="s">
        <v>399</v>
      </c>
      <c r="G901" s="39" t="s">
        <v>102</v>
      </c>
      <c r="H901" s="42">
        <v>0</v>
      </c>
      <c r="I901" s="42">
        <v>0</v>
      </c>
      <c r="J901" s="42">
        <v>30</v>
      </c>
      <c r="K901" s="42">
        <v>60</v>
      </c>
      <c r="L901" s="42">
        <v>60</v>
      </c>
      <c r="M901" s="42">
        <v>55.8</v>
      </c>
      <c r="N901" s="42">
        <v>30</v>
      </c>
      <c r="O901" s="42">
        <f t="shared" si="222"/>
        <v>30</v>
      </c>
      <c r="P901" s="203">
        <f t="shared" si="223"/>
        <v>30</v>
      </c>
    </row>
    <row r="902" spans="1:16" ht="15" hidden="1" customHeight="1" outlineLevel="1" x14ac:dyDescent="0.25">
      <c r="A902" s="39" t="s">
        <v>11</v>
      </c>
      <c r="B902" s="46" t="s">
        <v>519</v>
      </c>
      <c r="C902" s="246"/>
      <c r="D902" s="47" t="s">
        <v>103</v>
      </c>
      <c r="E902" s="39" t="s">
        <v>17</v>
      </c>
      <c r="F902" s="39" t="s">
        <v>399</v>
      </c>
      <c r="G902" s="39" t="s">
        <v>104</v>
      </c>
      <c r="H902" s="42">
        <v>141.79</v>
      </c>
      <c r="I902" s="42">
        <v>180.5</v>
      </c>
      <c r="J902" s="42">
        <v>300</v>
      </c>
      <c r="K902" s="42">
        <v>300</v>
      </c>
      <c r="L902" s="42">
        <f t="shared" ref="L902:L915" si="229">M902/10*12</f>
        <v>0</v>
      </c>
      <c r="M902" s="42">
        <v>0</v>
      </c>
      <c r="N902" s="42">
        <v>300</v>
      </c>
      <c r="O902" s="42">
        <f t="shared" si="222"/>
        <v>300</v>
      </c>
      <c r="P902" s="203">
        <f t="shared" si="223"/>
        <v>300</v>
      </c>
    </row>
    <row r="903" spans="1:16" ht="15" hidden="1" customHeight="1" outlineLevel="1" x14ac:dyDescent="0.25">
      <c r="A903" s="39" t="s">
        <v>11</v>
      </c>
      <c r="B903" s="46" t="s">
        <v>519</v>
      </c>
      <c r="C903" s="246"/>
      <c r="D903" s="47" t="s">
        <v>403</v>
      </c>
      <c r="E903" s="39" t="s">
        <v>14</v>
      </c>
      <c r="F903" s="39" t="s">
        <v>399</v>
      </c>
      <c r="G903" s="39" t="s">
        <v>404</v>
      </c>
      <c r="H903" s="42">
        <v>0</v>
      </c>
      <c r="I903" s="42">
        <v>0</v>
      </c>
      <c r="J903" s="42">
        <v>0</v>
      </c>
      <c r="K903" s="42">
        <v>5000</v>
      </c>
      <c r="L903" s="42">
        <f t="shared" si="229"/>
        <v>7044.48</v>
      </c>
      <c r="M903" s="42">
        <v>5870.4</v>
      </c>
      <c r="N903" s="44">
        <v>14300</v>
      </c>
      <c r="O903" s="42">
        <f t="shared" si="222"/>
        <v>14300</v>
      </c>
      <c r="P903" s="203">
        <f t="shared" si="223"/>
        <v>14300</v>
      </c>
    </row>
    <row r="904" spans="1:16" ht="15" hidden="1" customHeight="1" outlineLevel="1" x14ac:dyDescent="0.25">
      <c r="A904" s="39" t="s">
        <v>11</v>
      </c>
      <c r="B904" s="46" t="s">
        <v>519</v>
      </c>
      <c r="C904" s="246"/>
      <c r="D904" s="47" t="s">
        <v>403</v>
      </c>
      <c r="E904" s="39" t="s">
        <v>405</v>
      </c>
      <c r="F904" s="39" t="s">
        <v>399</v>
      </c>
      <c r="G904" s="39" t="s">
        <v>404</v>
      </c>
      <c r="H904" s="42">
        <v>28715.26</v>
      </c>
      <c r="I904" s="42">
        <v>30064.639999999999</v>
      </c>
      <c r="J904" s="42">
        <v>30000</v>
      </c>
      <c r="K904" s="42">
        <v>25000</v>
      </c>
      <c r="L904" s="42">
        <f t="shared" si="229"/>
        <v>22161.455999999998</v>
      </c>
      <c r="M904" s="42">
        <v>18467.88</v>
      </c>
      <c r="N904" s="42">
        <v>24000</v>
      </c>
      <c r="O904" s="42">
        <f t="shared" si="222"/>
        <v>24000</v>
      </c>
      <c r="P904" s="203">
        <f t="shared" si="223"/>
        <v>24000</v>
      </c>
    </row>
    <row r="905" spans="1:16" ht="15" hidden="1" customHeight="1" outlineLevel="1" x14ac:dyDescent="0.25">
      <c r="A905" s="39"/>
      <c r="B905" s="46"/>
      <c r="C905" s="246"/>
      <c r="D905" s="47" t="s">
        <v>105</v>
      </c>
      <c r="E905" s="39" t="s">
        <v>17</v>
      </c>
      <c r="F905" s="39" t="s">
        <v>399</v>
      </c>
      <c r="G905" s="39" t="s">
        <v>106</v>
      </c>
      <c r="H905" s="42">
        <v>236.31</v>
      </c>
      <c r="I905" s="42">
        <v>204</v>
      </c>
      <c r="J905" s="42">
        <v>11</v>
      </c>
      <c r="K905" s="42">
        <v>11</v>
      </c>
      <c r="L905" s="42">
        <f t="shared" si="229"/>
        <v>12.852000000000002</v>
      </c>
      <c r="M905" s="42">
        <v>10.71</v>
      </c>
      <c r="N905" s="42">
        <v>11</v>
      </c>
      <c r="O905" s="42">
        <f t="shared" si="222"/>
        <v>11</v>
      </c>
      <c r="P905" s="203">
        <f t="shared" si="223"/>
        <v>11</v>
      </c>
    </row>
    <row r="906" spans="1:16" ht="15" customHeight="1" collapsed="1" x14ac:dyDescent="0.25">
      <c r="A906" s="39" t="s">
        <v>11</v>
      </c>
      <c r="B906" s="46" t="s">
        <v>519</v>
      </c>
      <c r="C906" s="246"/>
      <c r="D906" s="47" t="s">
        <v>470</v>
      </c>
      <c r="E906" s="39"/>
      <c r="F906" s="39"/>
      <c r="G906" s="39" t="s">
        <v>471</v>
      </c>
      <c r="H906" s="24">
        <v>1304.48</v>
      </c>
      <c r="I906" s="24">
        <f t="shared" ref="I906:P906" si="230">SUM(I895:I905)</f>
        <v>31334.25</v>
      </c>
      <c r="J906" s="24">
        <f t="shared" si="230"/>
        <v>32241</v>
      </c>
      <c r="K906" s="24">
        <f t="shared" si="230"/>
        <v>32241</v>
      </c>
      <c r="L906" s="24">
        <f t="shared" si="230"/>
        <v>29977.991999999998</v>
      </c>
      <c r="M906" s="24">
        <f t="shared" si="230"/>
        <v>24987.46</v>
      </c>
      <c r="N906" s="24">
        <f t="shared" si="230"/>
        <v>40641</v>
      </c>
      <c r="O906" s="24">
        <f t="shared" si="230"/>
        <v>40641</v>
      </c>
      <c r="P906" s="215">
        <f t="shared" si="230"/>
        <v>40641</v>
      </c>
    </row>
    <row r="907" spans="1:16" ht="15" hidden="1" customHeight="1" outlineLevel="1" x14ac:dyDescent="0.25">
      <c r="A907" s="39" t="s">
        <v>11</v>
      </c>
      <c r="B907" s="46" t="s">
        <v>519</v>
      </c>
      <c r="C907" s="246"/>
      <c r="D907" s="47" t="s">
        <v>110</v>
      </c>
      <c r="E907" s="39" t="s">
        <v>17</v>
      </c>
      <c r="F907" s="39" t="s">
        <v>399</v>
      </c>
      <c r="G907" s="39" t="s">
        <v>375</v>
      </c>
      <c r="H907" s="42">
        <v>0</v>
      </c>
      <c r="I907" s="42">
        <v>0</v>
      </c>
      <c r="J907" s="42">
        <v>100</v>
      </c>
      <c r="K907" s="42">
        <v>100</v>
      </c>
      <c r="L907" s="42">
        <f t="shared" si="229"/>
        <v>0</v>
      </c>
      <c r="M907" s="42">
        <v>0</v>
      </c>
      <c r="N907" s="42">
        <v>100</v>
      </c>
      <c r="O907" s="42">
        <f t="shared" ref="O907:O909" si="231">N907</f>
        <v>100</v>
      </c>
      <c r="P907" s="203">
        <f t="shared" ref="P907:P909" si="232">N907</f>
        <v>100</v>
      </c>
    </row>
    <row r="908" spans="1:16" ht="15" hidden="1" customHeight="1" outlineLevel="1" x14ac:dyDescent="0.25">
      <c r="A908" s="39" t="s">
        <v>11</v>
      </c>
      <c r="B908" s="46" t="s">
        <v>519</v>
      </c>
      <c r="C908" s="246"/>
      <c r="D908" s="47" t="s">
        <v>114</v>
      </c>
      <c r="E908" s="39" t="s">
        <v>17</v>
      </c>
      <c r="F908" s="39" t="s">
        <v>399</v>
      </c>
      <c r="G908" s="39" t="s">
        <v>115</v>
      </c>
      <c r="H908" s="42">
        <v>0</v>
      </c>
      <c r="I908" s="42">
        <v>354.24</v>
      </c>
      <c r="J908" s="42">
        <v>200</v>
      </c>
      <c r="K908" s="42">
        <v>188</v>
      </c>
      <c r="L908" s="42">
        <f t="shared" si="229"/>
        <v>0</v>
      </c>
      <c r="M908" s="42">
        <v>0</v>
      </c>
      <c r="N908" s="44">
        <v>0</v>
      </c>
      <c r="O908" s="42">
        <f t="shared" si="231"/>
        <v>0</v>
      </c>
      <c r="P908" s="203">
        <f t="shared" si="232"/>
        <v>0</v>
      </c>
    </row>
    <row r="909" spans="1:16" hidden="1" outlineLevel="1" collapsed="1" x14ac:dyDescent="0.25">
      <c r="A909" s="39"/>
      <c r="B909" s="46"/>
      <c r="C909" s="246"/>
      <c r="D909" s="47" t="s">
        <v>116</v>
      </c>
      <c r="E909" s="39" t="s">
        <v>17</v>
      </c>
      <c r="F909" s="39" t="s">
        <v>399</v>
      </c>
      <c r="G909" s="39" t="s">
        <v>117</v>
      </c>
      <c r="H909" s="42">
        <v>0</v>
      </c>
      <c r="I909" s="42">
        <v>0</v>
      </c>
      <c r="J909" s="42">
        <v>0</v>
      </c>
      <c r="K909" s="42">
        <v>12</v>
      </c>
      <c r="L909" s="42">
        <f t="shared" si="229"/>
        <v>14.399999999999999</v>
      </c>
      <c r="M909" s="42">
        <v>12</v>
      </c>
      <c r="N909" s="42">
        <v>200</v>
      </c>
      <c r="O909" s="42">
        <f t="shared" si="231"/>
        <v>200</v>
      </c>
      <c r="P909" s="203">
        <f t="shared" si="232"/>
        <v>200</v>
      </c>
    </row>
    <row r="910" spans="1:16" ht="15" customHeight="1" collapsed="1" x14ac:dyDescent="0.25">
      <c r="A910" s="39" t="s">
        <v>11</v>
      </c>
      <c r="B910" s="46" t="s">
        <v>519</v>
      </c>
      <c r="C910" s="246"/>
      <c r="D910" s="47" t="s">
        <v>473</v>
      </c>
      <c r="E910" s="39"/>
      <c r="F910" s="39"/>
      <c r="G910" s="39" t="s">
        <v>568</v>
      </c>
      <c r="H910" s="24">
        <f>SUM(H907:H909)</f>
        <v>0</v>
      </c>
      <c r="I910" s="24">
        <f t="shared" ref="I910:P910" si="233">SUM(I907:I909)</f>
        <v>354.24</v>
      </c>
      <c r="J910" s="24">
        <f t="shared" si="233"/>
        <v>300</v>
      </c>
      <c r="K910" s="24">
        <f t="shared" si="233"/>
        <v>300</v>
      </c>
      <c r="L910" s="24">
        <f t="shared" si="233"/>
        <v>14.399999999999999</v>
      </c>
      <c r="M910" s="24">
        <f t="shared" si="233"/>
        <v>12</v>
      </c>
      <c r="N910" s="24">
        <f t="shared" si="233"/>
        <v>300</v>
      </c>
      <c r="O910" s="24">
        <f t="shared" si="233"/>
        <v>300</v>
      </c>
      <c r="P910" s="215">
        <f t="shared" si="233"/>
        <v>300</v>
      </c>
    </row>
    <row r="911" spans="1:16" ht="15" hidden="1" customHeight="1" outlineLevel="1" x14ac:dyDescent="0.25">
      <c r="A911" s="39" t="s">
        <v>11</v>
      </c>
      <c r="B911" s="46" t="s">
        <v>519</v>
      </c>
      <c r="C911" s="246"/>
      <c r="D911" s="47" t="s">
        <v>128</v>
      </c>
      <c r="E911" s="39" t="s">
        <v>17</v>
      </c>
      <c r="F911" s="39" t="s">
        <v>399</v>
      </c>
      <c r="G911" s="39" t="s">
        <v>130</v>
      </c>
      <c r="H911" s="42">
        <v>100</v>
      </c>
      <c r="I911" s="42">
        <v>45</v>
      </c>
      <c r="J911" s="42">
        <v>50</v>
      </c>
      <c r="K911" s="42">
        <v>50</v>
      </c>
      <c r="L911" s="42">
        <f t="shared" si="229"/>
        <v>0</v>
      </c>
      <c r="M911" s="42">
        <v>0</v>
      </c>
      <c r="N911" s="42">
        <v>50</v>
      </c>
      <c r="O911" s="42">
        <f t="shared" ref="O911:O915" si="234">N911</f>
        <v>50</v>
      </c>
      <c r="P911" s="203">
        <f t="shared" ref="P911:P915" si="235">N911</f>
        <v>50</v>
      </c>
    </row>
    <row r="912" spans="1:16" ht="15" hidden="1" customHeight="1" outlineLevel="1" x14ac:dyDescent="0.25">
      <c r="A912" s="39" t="s">
        <v>11</v>
      </c>
      <c r="B912" s="46" t="s">
        <v>519</v>
      </c>
      <c r="C912" s="246"/>
      <c r="D912" s="47" t="s">
        <v>135</v>
      </c>
      <c r="E912" s="39" t="s">
        <v>17</v>
      </c>
      <c r="F912" s="39" t="s">
        <v>399</v>
      </c>
      <c r="G912" s="39" t="s">
        <v>136</v>
      </c>
      <c r="H912" s="42">
        <v>1089.5999999999999</v>
      </c>
      <c r="I912" s="42">
        <v>1102.31</v>
      </c>
      <c r="J912" s="42">
        <v>1700</v>
      </c>
      <c r="K912" s="42">
        <v>1700</v>
      </c>
      <c r="L912" s="42">
        <f t="shared" si="229"/>
        <v>530.17200000000003</v>
      </c>
      <c r="M912" s="42">
        <v>441.81</v>
      </c>
      <c r="N912" s="44">
        <v>600</v>
      </c>
      <c r="O912" s="42">
        <f t="shared" si="234"/>
        <v>600</v>
      </c>
      <c r="P912" s="203">
        <f t="shared" si="235"/>
        <v>600</v>
      </c>
    </row>
    <row r="913" spans="1:16" hidden="1" outlineLevel="1" collapsed="1" x14ac:dyDescent="0.25">
      <c r="A913" s="39" t="s">
        <v>11</v>
      </c>
      <c r="B913" s="46" t="s">
        <v>519</v>
      </c>
      <c r="C913" s="246"/>
      <c r="D913" s="47" t="s">
        <v>137</v>
      </c>
      <c r="E913" s="39" t="s">
        <v>17</v>
      </c>
      <c r="F913" s="39" t="s">
        <v>399</v>
      </c>
      <c r="G913" s="39" t="s">
        <v>322</v>
      </c>
      <c r="H913" s="42">
        <v>20</v>
      </c>
      <c r="I913" s="42">
        <v>0</v>
      </c>
      <c r="J913" s="42">
        <v>0</v>
      </c>
      <c r="K913" s="42">
        <v>0</v>
      </c>
      <c r="L913" s="42">
        <f t="shared" si="229"/>
        <v>0</v>
      </c>
      <c r="M913" s="42">
        <v>0</v>
      </c>
      <c r="N913" s="42">
        <v>15</v>
      </c>
      <c r="O913" s="42">
        <f t="shared" si="234"/>
        <v>15</v>
      </c>
      <c r="P913" s="203">
        <f t="shared" si="235"/>
        <v>15</v>
      </c>
    </row>
    <row r="914" spans="1:16" ht="15" hidden="1" customHeight="1" outlineLevel="1" x14ac:dyDescent="0.25">
      <c r="A914" s="39" t="s">
        <v>11</v>
      </c>
      <c r="B914" s="46" t="s">
        <v>519</v>
      </c>
      <c r="C914" s="246"/>
      <c r="D914" s="47" t="s">
        <v>151</v>
      </c>
      <c r="E914" s="39" t="s">
        <v>17</v>
      </c>
      <c r="F914" s="39" t="s">
        <v>399</v>
      </c>
      <c r="G914" s="39" t="s">
        <v>152</v>
      </c>
      <c r="H914" s="42">
        <v>1416.8</v>
      </c>
      <c r="I914" s="42">
        <v>1388.8</v>
      </c>
      <c r="J914" s="42">
        <v>1400</v>
      </c>
      <c r="K914" s="42">
        <v>1611.32</v>
      </c>
      <c r="L914" s="42">
        <f t="shared" si="229"/>
        <v>1195.92</v>
      </c>
      <c r="M914" s="42">
        <v>996.6</v>
      </c>
      <c r="N914" s="44">
        <v>1470</v>
      </c>
      <c r="O914" s="42">
        <f t="shared" si="234"/>
        <v>1470</v>
      </c>
      <c r="P914" s="203">
        <f t="shared" si="235"/>
        <v>1470</v>
      </c>
    </row>
    <row r="915" spans="1:16" ht="15" hidden="1" customHeight="1" outlineLevel="1" x14ac:dyDescent="0.25">
      <c r="A915" s="39"/>
      <c r="B915" s="46"/>
      <c r="C915" s="246"/>
      <c r="D915" s="47" t="s">
        <v>155</v>
      </c>
      <c r="E915" s="39" t="s">
        <v>17</v>
      </c>
      <c r="F915" s="39" t="s">
        <v>399</v>
      </c>
      <c r="G915" s="39" t="s">
        <v>156</v>
      </c>
      <c r="H915" s="42">
        <v>378.38</v>
      </c>
      <c r="I915" s="42">
        <v>423.72</v>
      </c>
      <c r="J915" s="42">
        <v>570</v>
      </c>
      <c r="K915" s="42">
        <v>570</v>
      </c>
      <c r="L915" s="42">
        <f t="shared" si="229"/>
        <v>359.928</v>
      </c>
      <c r="M915" s="42">
        <v>299.94</v>
      </c>
      <c r="N915" s="42">
        <v>453</v>
      </c>
      <c r="O915" s="42">
        <f t="shared" si="234"/>
        <v>453</v>
      </c>
      <c r="P915" s="203">
        <f t="shared" si="235"/>
        <v>453</v>
      </c>
    </row>
    <row r="916" spans="1:16" ht="15" customHeight="1" collapsed="1" thickBot="1" x14ac:dyDescent="0.3">
      <c r="A916" s="6"/>
      <c r="B916" s="75"/>
      <c r="C916" s="246"/>
      <c r="D916" s="47" t="s">
        <v>478</v>
      </c>
      <c r="E916" s="39"/>
      <c r="F916" s="39"/>
      <c r="G916" s="39" t="s">
        <v>479</v>
      </c>
      <c r="H916" s="24">
        <f>SUM(H911:H915)</f>
        <v>3004.7799999999997</v>
      </c>
      <c r="I916" s="24">
        <f t="shared" ref="I916:P916" si="236">SUM(I911:I915)</f>
        <v>2959.83</v>
      </c>
      <c r="J916" s="24">
        <f t="shared" si="236"/>
        <v>3720</v>
      </c>
      <c r="K916" s="24">
        <f t="shared" si="236"/>
        <v>3931.3199999999997</v>
      </c>
      <c r="L916" s="24">
        <f t="shared" si="236"/>
        <v>2086.02</v>
      </c>
      <c r="M916" s="24">
        <f t="shared" si="236"/>
        <v>1738.3500000000001</v>
      </c>
      <c r="N916" s="24">
        <f t="shared" si="236"/>
        <v>2588</v>
      </c>
      <c r="O916" s="24">
        <f t="shared" si="236"/>
        <v>2588</v>
      </c>
      <c r="P916" s="215">
        <f t="shared" si="236"/>
        <v>2588</v>
      </c>
    </row>
    <row r="917" spans="1:16" ht="15" customHeight="1" thickBot="1" x14ac:dyDescent="0.3">
      <c r="A917" s="36" t="s">
        <v>598</v>
      </c>
      <c r="C917" s="247"/>
      <c r="D917" s="60" t="s">
        <v>593</v>
      </c>
      <c r="E917" s="76"/>
      <c r="F917" s="76"/>
      <c r="G917" s="61" t="s">
        <v>668</v>
      </c>
      <c r="H917" s="62">
        <f>H916+H910+H906+H894+H888+H886+H877</f>
        <v>51790.76</v>
      </c>
      <c r="I917" s="62">
        <f>I916+I910+I906+I894+I888+I886+I877</f>
        <v>85541.87999999999</v>
      </c>
      <c r="J917" s="62">
        <f t="shared" ref="J917:P917" si="237">J916+J910+J906+J894+J888+J886+J877</f>
        <v>99242</v>
      </c>
      <c r="K917" s="62">
        <f t="shared" si="237"/>
        <v>94464.320000000007</v>
      </c>
      <c r="L917" s="62">
        <f t="shared" si="237"/>
        <v>90682.076000000001</v>
      </c>
      <c r="M917" s="62">
        <f t="shared" si="237"/>
        <v>73568.69</v>
      </c>
      <c r="N917" s="62">
        <f t="shared" si="237"/>
        <v>111878</v>
      </c>
      <c r="O917" s="62">
        <f t="shared" si="237"/>
        <v>111878</v>
      </c>
      <c r="P917" s="63">
        <f t="shared" si="237"/>
        <v>111878</v>
      </c>
    </row>
    <row r="918" spans="1:16" ht="15" customHeight="1" thickBot="1" x14ac:dyDescent="0.3">
      <c r="A918" s="1" t="s">
        <v>11</v>
      </c>
      <c r="B918" s="13" t="s">
        <v>517</v>
      </c>
      <c r="C918" s="161" t="s">
        <v>669</v>
      </c>
      <c r="D918" s="162"/>
      <c r="E918" s="163"/>
      <c r="F918" s="164"/>
      <c r="G918" s="164" t="s">
        <v>670</v>
      </c>
      <c r="H918" s="164">
        <f>H919+H920+H921</f>
        <v>7179.16</v>
      </c>
      <c r="I918" s="164">
        <f t="shared" ref="I918:P918" si="238">I919+I920+I921</f>
        <v>7549.41</v>
      </c>
      <c r="J918" s="164">
        <f t="shared" si="238"/>
        <v>0</v>
      </c>
      <c r="K918" s="164">
        <f t="shared" si="238"/>
        <v>0</v>
      </c>
      <c r="L918" s="164">
        <f t="shared" si="238"/>
        <v>8188</v>
      </c>
      <c r="M918" s="164">
        <f t="shared" si="238"/>
        <v>8188</v>
      </c>
      <c r="N918" s="164">
        <f t="shared" si="238"/>
        <v>0</v>
      </c>
      <c r="O918" s="164">
        <f t="shared" si="238"/>
        <v>0</v>
      </c>
      <c r="P918" s="165">
        <f t="shared" si="238"/>
        <v>0</v>
      </c>
    </row>
    <row r="919" spans="1:16" collapsed="1" x14ac:dyDescent="0.25">
      <c r="A919" s="39" t="s">
        <v>11</v>
      </c>
      <c r="B919" s="46" t="s">
        <v>517</v>
      </c>
      <c r="C919" s="228"/>
      <c r="D919" s="39" t="s">
        <v>208</v>
      </c>
      <c r="E919" s="39" t="s">
        <v>14</v>
      </c>
      <c r="F919" s="39" t="s">
        <v>11</v>
      </c>
      <c r="G919" s="39" t="s">
        <v>406</v>
      </c>
      <c r="H919" s="42">
        <v>2793.36</v>
      </c>
      <c r="I919" s="42">
        <v>7549.41</v>
      </c>
      <c r="J919" s="42">
        <v>0</v>
      </c>
      <c r="K919" s="42">
        <v>0</v>
      </c>
      <c r="L919" s="42">
        <v>3000</v>
      </c>
      <c r="M919" s="42">
        <v>3000</v>
      </c>
      <c r="N919" s="42">
        <v>0</v>
      </c>
      <c r="O919" s="42">
        <f t="shared" ref="O919:O921" si="239">N919</f>
        <v>0</v>
      </c>
      <c r="P919" s="203">
        <f t="shared" ref="P919:P921" si="240">N919</f>
        <v>0</v>
      </c>
    </row>
    <row r="920" spans="1:16" x14ac:dyDescent="0.25">
      <c r="A920" s="39" t="s">
        <v>11</v>
      </c>
      <c r="B920" s="46" t="s">
        <v>518</v>
      </c>
      <c r="C920" s="136"/>
      <c r="D920" s="39" t="s">
        <v>208</v>
      </c>
      <c r="E920" s="39" t="s">
        <v>14</v>
      </c>
      <c r="F920" s="39" t="s">
        <v>11</v>
      </c>
      <c r="G920" s="39" t="s">
        <v>407</v>
      </c>
      <c r="H920" s="42"/>
      <c r="I920" s="42">
        <v>0</v>
      </c>
      <c r="J920" s="42">
        <v>0</v>
      </c>
      <c r="K920" s="42">
        <v>0</v>
      </c>
      <c r="L920" s="42">
        <v>2788</v>
      </c>
      <c r="M920" s="42">
        <v>2788</v>
      </c>
      <c r="N920" s="42">
        <v>0</v>
      </c>
      <c r="O920" s="42">
        <f t="shared" si="239"/>
        <v>0</v>
      </c>
      <c r="P920" s="203">
        <f t="shared" si="240"/>
        <v>0</v>
      </c>
    </row>
    <row r="921" spans="1:16" ht="15.75" thickBot="1" x14ac:dyDescent="0.3">
      <c r="C921" s="229"/>
      <c r="D921" s="39" t="s">
        <v>208</v>
      </c>
      <c r="E921" s="39" t="s">
        <v>14</v>
      </c>
      <c r="F921" s="39" t="s">
        <v>11</v>
      </c>
      <c r="G921" s="39" t="s">
        <v>408</v>
      </c>
      <c r="H921" s="42">
        <v>4385.8</v>
      </c>
      <c r="I921" s="42">
        <v>0</v>
      </c>
      <c r="J921" s="42">
        <v>0</v>
      </c>
      <c r="K921" s="42">
        <v>0</v>
      </c>
      <c r="L921" s="42">
        <v>2400</v>
      </c>
      <c r="M921" s="42">
        <v>2400</v>
      </c>
      <c r="N921" s="42">
        <v>0</v>
      </c>
      <c r="O921" s="42">
        <f t="shared" si="239"/>
        <v>0</v>
      </c>
      <c r="P921" s="203">
        <f t="shared" si="240"/>
        <v>0</v>
      </c>
    </row>
    <row r="922" spans="1:16" ht="17.25" customHeight="1" thickBot="1" x14ac:dyDescent="0.3">
      <c r="A922" s="1" t="s">
        <v>11</v>
      </c>
      <c r="B922" s="13" t="s">
        <v>522</v>
      </c>
      <c r="C922" s="161" t="s">
        <v>671</v>
      </c>
      <c r="D922" s="162"/>
      <c r="E922" s="163"/>
      <c r="F922" s="164"/>
      <c r="G922" s="164" t="s">
        <v>672</v>
      </c>
      <c r="H922" s="164">
        <f>H923</f>
        <v>102304</v>
      </c>
      <c r="I922" s="164">
        <f t="shared" ref="I922:P922" si="241">I923</f>
        <v>114550</v>
      </c>
      <c r="J922" s="164">
        <f t="shared" si="241"/>
        <v>114550</v>
      </c>
      <c r="K922" s="164">
        <f t="shared" si="241"/>
        <v>133826</v>
      </c>
      <c r="L922" s="164">
        <f t="shared" si="241"/>
        <v>139755</v>
      </c>
      <c r="M922" s="164">
        <f t="shared" si="241"/>
        <v>99407</v>
      </c>
      <c r="N922" s="164">
        <f t="shared" si="241"/>
        <v>167640</v>
      </c>
      <c r="O922" s="164">
        <f t="shared" si="241"/>
        <v>167640</v>
      </c>
      <c r="P922" s="165">
        <f t="shared" si="241"/>
        <v>167640</v>
      </c>
    </row>
    <row r="923" spans="1:16" ht="15.75" hidden="1" outlineLevel="1" thickBot="1" x14ac:dyDescent="0.3">
      <c r="A923" s="36" t="s">
        <v>603</v>
      </c>
      <c r="C923" s="202" t="s">
        <v>409</v>
      </c>
      <c r="D923" s="39" t="s">
        <v>283</v>
      </c>
      <c r="E923" s="39" t="s">
        <v>17</v>
      </c>
      <c r="F923" s="39" t="s">
        <v>17</v>
      </c>
      <c r="G923" s="39" t="s">
        <v>485</v>
      </c>
      <c r="H923" s="42">
        <v>102304</v>
      </c>
      <c r="I923" s="42">
        <v>114550</v>
      </c>
      <c r="J923" s="42">
        <v>114550</v>
      </c>
      <c r="K923" s="42">
        <v>133826</v>
      </c>
      <c r="L923" s="42">
        <v>139755</v>
      </c>
      <c r="M923" s="42">
        <v>99407</v>
      </c>
      <c r="N923" s="42">
        <v>167640</v>
      </c>
      <c r="O923" s="42">
        <f t="shared" ref="O923" si="242">N923</f>
        <v>167640</v>
      </c>
      <c r="P923" s="203">
        <f t="shared" ref="P923" si="243">N923</f>
        <v>167640</v>
      </c>
    </row>
    <row r="924" spans="1:16" ht="15.75" collapsed="1" thickBot="1" x14ac:dyDescent="0.3">
      <c r="A924" s="1" t="s">
        <v>11</v>
      </c>
      <c r="B924" s="13" t="s">
        <v>521</v>
      </c>
      <c r="C924" s="161" t="s">
        <v>673</v>
      </c>
      <c r="D924" s="162"/>
      <c r="E924" s="163"/>
      <c r="F924" s="164"/>
      <c r="G924" s="164" t="s">
        <v>674</v>
      </c>
      <c r="H924" s="164">
        <f>H958</f>
        <v>15678.34</v>
      </c>
      <c r="I924" s="164">
        <f t="shared" ref="I924:P924" si="244">I958</f>
        <v>21358.690000000002</v>
      </c>
      <c r="J924" s="164">
        <f t="shared" si="244"/>
        <v>20463</v>
      </c>
      <c r="K924" s="164">
        <f t="shared" si="244"/>
        <v>20463</v>
      </c>
      <c r="L924" s="164">
        <f t="shared" si="244"/>
        <v>14765.419999999998</v>
      </c>
      <c r="M924" s="164">
        <f t="shared" si="244"/>
        <v>5342.59</v>
      </c>
      <c r="N924" s="164">
        <f t="shared" si="244"/>
        <v>20000</v>
      </c>
      <c r="O924" s="164">
        <f t="shared" si="244"/>
        <v>20000</v>
      </c>
      <c r="P924" s="165">
        <f t="shared" si="244"/>
        <v>20000</v>
      </c>
    </row>
    <row r="925" spans="1:16" hidden="1" outlineLevel="1" collapsed="1" x14ac:dyDescent="0.25">
      <c r="A925" s="39" t="s">
        <v>11</v>
      </c>
      <c r="B925" s="46" t="s">
        <v>521</v>
      </c>
      <c r="C925" s="202" t="s">
        <v>410</v>
      </c>
      <c r="D925" s="39" t="s">
        <v>13</v>
      </c>
      <c r="E925" s="39" t="s">
        <v>14</v>
      </c>
      <c r="F925" s="39" t="s">
        <v>411</v>
      </c>
      <c r="G925" s="39" t="s">
        <v>19</v>
      </c>
      <c r="H925" s="42">
        <v>9717.2199999999993</v>
      </c>
      <c r="I925" s="42">
        <v>10571.19</v>
      </c>
      <c r="J925" s="42">
        <v>14142</v>
      </c>
      <c r="K925" s="42">
        <v>8142</v>
      </c>
      <c r="L925" s="42">
        <v>4718.1399999999994</v>
      </c>
      <c r="M925" s="42">
        <v>3718.14</v>
      </c>
      <c r="N925" s="42">
        <v>13300</v>
      </c>
      <c r="O925" s="42">
        <f t="shared" ref="O925:O956" si="245">N925</f>
        <v>13300</v>
      </c>
      <c r="P925" s="203">
        <f t="shared" ref="P925:P956" si="246">N925</f>
        <v>13300</v>
      </c>
    </row>
    <row r="926" spans="1:16" ht="15.75" hidden="1" outlineLevel="1" thickBot="1" x14ac:dyDescent="0.3">
      <c r="A926" s="39"/>
      <c r="B926" s="46"/>
      <c r="C926" s="204" t="s">
        <v>410</v>
      </c>
      <c r="D926" s="39" t="s">
        <v>13</v>
      </c>
      <c r="E926" s="39" t="s">
        <v>17</v>
      </c>
      <c r="F926" s="39" t="s">
        <v>411</v>
      </c>
      <c r="G926" s="39" t="s">
        <v>19</v>
      </c>
      <c r="H926" s="42">
        <v>969.61</v>
      </c>
      <c r="I926" s="42">
        <v>4464.25</v>
      </c>
      <c r="J926" s="42">
        <v>0</v>
      </c>
      <c r="K926" s="42">
        <v>0</v>
      </c>
      <c r="L926" s="42">
        <v>0</v>
      </c>
      <c r="M926" s="42">
        <v>0</v>
      </c>
      <c r="N926" s="42">
        <v>0</v>
      </c>
      <c r="O926" s="42">
        <f t="shared" si="245"/>
        <v>0</v>
      </c>
      <c r="P926" s="203">
        <f t="shared" si="246"/>
        <v>0</v>
      </c>
    </row>
    <row r="927" spans="1:16" collapsed="1" x14ac:dyDescent="0.25">
      <c r="A927" s="39" t="s">
        <v>11</v>
      </c>
      <c r="B927" s="46" t="s">
        <v>521</v>
      </c>
      <c r="C927" s="245"/>
      <c r="D927" s="47" t="s">
        <v>468</v>
      </c>
      <c r="E927" s="39"/>
      <c r="F927" s="39"/>
      <c r="G927" s="20" t="s">
        <v>610</v>
      </c>
      <c r="H927" s="24">
        <f>H925+H926</f>
        <v>10686.83</v>
      </c>
      <c r="I927" s="24">
        <f t="shared" ref="I927:P927" si="247">I925+I926</f>
        <v>15035.44</v>
      </c>
      <c r="J927" s="24">
        <f t="shared" si="247"/>
        <v>14142</v>
      </c>
      <c r="K927" s="24">
        <f t="shared" si="247"/>
        <v>8142</v>
      </c>
      <c r="L927" s="24">
        <f t="shared" si="247"/>
        <v>4718.1399999999994</v>
      </c>
      <c r="M927" s="24">
        <f t="shared" si="247"/>
        <v>3718.14</v>
      </c>
      <c r="N927" s="24">
        <f t="shared" si="247"/>
        <v>13300</v>
      </c>
      <c r="O927" s="24">
        <f t="shared" si="247"/>
        <v>13300</v>
      </c>
      <c r="P927" s="215">
        <f t="shared" si="247"/>
        <v>13300</v>
      </c>
    </row>
    <row r="928" spans="1:16" hidden="1" outlineLevel="1" x14ac:dyDescent="0.25">
      <c r="A928" s="39" t="s">
        <v>11</v>
      </c>
      <c r="B928" s="46" t="s">
        <v>521</v>
      </c>
      <c r="C928" s="246"/>
      <c r="D928" s="47" t="s">
        <v>26</v>
      </c>
      <c r="E928" s="39" t="s">
        <v>14</v>
      </c>
      <c r="F928" s="39" t="s">
        <v>411</v>
      </c>
      <c r="G928" s="39" t="s">
        <v>412</v>
      </c>
      <c r="H928" s="42">
        <v>1082.48</v>
      </c>
      <c r="I928" s="42">
        <v>1519.31</v>
      </c>
      <c r="J928" s="42">
        <v>1415</v>
      </c>
      <c r="K928" s="42">
        <v>615</v>
      </c>
      <c r="L928" s="42">
        <v>472.8</v>
      </c>
      <c r="M928" s="42">
        <v>372.8</v>
      </c>
      <c r="N928" s="42">
        <v>1330</v>
      </c>
      <c r="O928" s="42">
        <f t="shared" si="245"/>
        <v>1330</v>
      </c>
      <c r="P928" s="203">
        <f t="shared" si="246"/>
        <v>1330</v>
      </c>
    </row>
    <row r="929" spans="1:16" hidden="1" outlineLevel="1" x14ac:dyDescent="0.25">
      <c r="A929" s="39" t="s">
        <v>11</v>
      </c>
      <c r="B929" s="46" t="s">
        <v>521</v>
      </c>
      <c r="C929" s="246"/>
      <c r="D929" s="47" t="s">
        <v>52</v>
      </c>
      <c r="E929" s="39" t="s">
        <v>14</v>
      </c>
      <c r="F929" s="39" t="s">
        <v>411</v>
      </c>
      <c r="G929" s="39" t="s">
        <v>53</v>
      </c>
      <c r="H929" s="42">
        <v>108</v>
      </c>
      <c r="I929" s="42">
        <f>110+9</f>
        <v>119</v>
      </c>
      <c r="J929" s="42">
        <v>120</v>
      </c>
      <c r="K929" s="42">
        <v>120</v>
      </c>
      <c r="L929" s="42">
        <v>10</v>
      </c>
      <c r="M929" s="42">
        <v>10</v>
      </c>
      <c r="N929" s="42">
        <v>120</v>
      </c>
      <c r="O929" s="42">
        <f t="shared" si="245"/>
        <v>120</v>
      </c>
      <c r="P929" s="203">
        <f t="shared" si="246"/>
        <v>120</v>
      </c>
    </row>
    <row r="930" spans="1:16" hidden="1" outlineLevel="1" collapsed="1" x14ac:dyDescent="0.25">
      <c r="A930" s="39" t="s">
        <v>11</v>
      </c>
      <c r="B930" s="46" t="s">
        <v>521</v>
      </c>
      <c r="C930" s="246"/>
      <c r="D930" s="47" t="s">
        <v>29</v>
      </c>
      <c r="E930" s="39" t="s">
        <v>14</v>
      </c>
      <c r="F930" s="39" t="s">
        <v>411</v>
      </c>
      <c r="G930" s="39" t="s">
        <v>30</v>
      </c>
      <c r="H930" s="42">
        <v>149.97999999999999</v>
      </c>
      <c r="I930" s="42">
        <f>155+55.98</f>
        <v>210.98</v>
      </c>
      <c r="J930" s="42">
        <v>198</v>
      </c>
      <c r="K930" s="42">
        <v>198</v>
      </c>
      <c r="L930" s="42">
        <v>66.039999999999992</v>
      </c>
      <c r="M930" s="42">
        <v>52.04</v>
      </c>
      <c r="N930" s="42">
        <v>186</v>
      </c>
      <c r="O930" s="42">
        <f t="shared" si="245"/>
        <v>186</v>
      </c>
      <c r="P930" s="203">
        <f t="shared" si="246"/>
        <v>186</v>
      </c>
    </row>
    <row r="931" spans="1:16" ht="15" hidden="1" customHeight="1" outlineLevel="1" x14ac:dyDescent="0.25">
      <c r="A931" s="39" t="s">
        <v>11</v>
      </c>
      <c r="B931" s="46" t="s">
        <v>521</v>
      </c>
      <c r="C931" s="246"/>
      <c r="D931" s="47" t="s">
        <v>32</v>
      </c>
      <c r="E931" s="39" t="s">
        <v>14</v>
      </c>
      <c r="F931" s="39" t="s">
        <v>411</v>
      </c>
      <c r="G931" s="39" t="s">
        <v>34</v>
      </c>
      <c r="H931" s="42">
        <v>1500.34</v>
      </c>
      <c r="I931" s="42">
        <f>1340+770.36</f>
        <v>2110.36</v>
      </c>
      <c r="J931" s="42">
        <v>1980</v>
      </c>
      <c r="K931" s="42">
        <v>883</v>
      </c>
      <c r="L931" s="42">
        <v>660.53</v>
      </c>
      <c r="M931" s="42">
        <v>520.53</v>
      </c>
      <c r="N931" s="42">
        <v>1862</v>
      </c>
      <c r="O931" s="42">
        <f t="shared" si="245"/>
        <v>1862</v>
      </c>
      <c r="P931" s="203">
        <f t="shared" si="246"/>
        <v>1862</v>
      </c>
    </row>
    <row r="932" spans="1:16" ht="15" hidden="1" customHeight="1" outlineLevel="1" x14ac:dyDescent="0.25">
      <c r="A932" s="39" t="s">
        <v>11</v>
      </c>
      <c r="B932" s="46" t="s">
        <v>521</v>
      </c>
      <c r="C932" s="246"/>
      <c r="D932" s="47" t="s">
        <v>36</v>
      </c>
      <c r="E932" s="39" t="s">
        <v>14</v>
      </c>
      <c r="F932" s="39" t="s">
        <v>411</v>
      </c>
      <c r="G932" s="39" t="s">
        <v>38</v>
      </c>
      <c r="H932" s="42">
        <v>85.69</v>
      </c>
      <c r="I932" s="42">
        <f>90+30.54</f>
        <v>120.53999999999999</v>
      </c>
      <c r="J932" s="42">
        <v>114</v>
      </c>
      <c r="K932" s="42">
        <v>114</v>
      </c>
      <c r="L932" s="42">
        <v>37.730000000000004</v>
      </c>
      <c r="M932" s="42">
        <v>29.73</v>
      </c>
      <c r="N932" s="42">
        <v>106</v>
      </c>
      <c r="O932" s="42">
        <f t="shared" si="245"/>
        <v>106</v>
      </c>
      <c r="P932" s="203">
        <f t="shared" si="246"/>
        <v>106</v>
      </c>
    </row>
    <row r="933" spans="1:16" ht="15" hidden="1" customHeight="1" outlineLevel="1" x14ac:dyDescent="0.25">
      <c r="A933" s="39" t="s">
        <v>11</v>
      </c>
      <c r="B933" s="46" t="s">
        <v>521</v>
      </c>
      <c r="C933" s="246"/>
      <c r="D933" s="47" t="s">
        <v>40</v>
      </c>
      <c r="E933" s="39" t="s">
        <v>14</v>
      </c>
      <c r="F933" s="39" t="s">
        <v>411</v>
      </c>
      <c r="G933" s="39" t="s">
        <v>42</v>
      </c>
      <c r="H933" s="42">
        <v>321.44</v>
      </c>
      <c r="I933" s="42">
        <f>325.5+126.72</f>
        <v>452.22</v>
      </c>
      <c r="J933" s="42">
        <v>425</v>
      </c>
      <c r="K933" s="42">
        <v>425</v>
      </c>
      <c r="L933" s="42">
        <v>141.53</v>
      </c>
      <c r="M933" s="42">
        <v>111.53</v>
      </c>
      <c r="N933" s="42">
        <v>399</v>
      </c>
      <c r="O933" s="42">
        <f t="shared" si="245"/>
        <v>399</v>
      </c>
      <c r="P933" s="203">
        <f t="shared" si="246"/>
        <v>399</v>
      </c>
    </row>
    <row r="934" spans="1:16" ht="15" hidden="1" customHeight="1" outlineLevel="1" x14ac:dyDescent="0.25">
      <c r="A934" s="39" t="s">
        <v>11</v>
      </c>
      <c r="B934" s="46" t="s">
        <v>521</v>
      </c>
      <c r="C934" s="246"/>
      <c r="D934" s="47" t="s">
        <v>44</v>
      </c>
      <c r="E934" s="39" t="s">
        <v>14</v>
      </c>
      <c r="F934" s="39" t="s">
        <v>411</v>
      </c>
      <c r="G934" s="39" t="s">
        <v>46</v>
      </c>
      <c r="H934" s="42">
        <v>107.11</v>
      </c>
      <c r="I934" s="42">
        <f>110+40.72</f>
        <v>150.72</v>
      </c>
      <c r="J934" s="42">
        <v>142</v>
      </c>
      <c r="K934" s="42">
        <v>142</v>
      </c>
      <c r="L934" s="42">
        <v>47.17</v>
      </c>
      <c r="M934" s="42">
        <v>37.17</v>
      </c>
      <c r="N934" s="42">
        <v>133</v>
      </c>
      <c r="O934" s="42">
        <f t="shared" si="245"/>
        <v>133</v>
      </c>
      <c r="P934" s="203">
        <f t="shared" si="246"/>
        <v>133</v>
      </c>
    </row>
    <row r="935" spans="1:16" ht="15" hidden="1" customHeight="1" outlineLevel="1" x14ac:dyDescent="0.25">
      <c r="A935" s="39"/>
      <c r="B935" s="46"/>
      <c r="C935" s="246"/>
      <c r="D935" s="47" t="s">
        <v>48</v>
      </c>
      <c r="E935" s="39" t="s">
        <v>14</v>
      </c>
      <c r="F935" s="39" t="s">
        <v>411</v>
      </c>
      <c r="G935" s="39" t="s">
        <v>50</v>
      </c>
      <c r="H935" s="42">
        <v>509</v>
      </c>
      <c r="I935" s="42">
        <f>260.9+455</f>
        <v>715.9</v>
      </c>
      <c r="J935" s="42">
        <v>672</v>
      </c>
      <c r="K935" s="42">
        <v>472</v>
      </c>
      <c r="L935" s="42">
        <v>224.09</v>
      </c>
      <c r="M935" s="42">
        <v>176.59</v>
      </c>
      <c r="N935" s="42">
        <v>632</v>
      </c>
      <c r="O935" s="42">
        <f t="shared" si="245"/>
        <v>632</v>
      </c>
      <c r="P935" s="203">
        <f t="shared" si="246"/>
        <v>632</v>
      </c>
    </row>
    <row r="936" spans="1:16" ht="15" customHeight="1" collapsed="1" x14ac:dyDescent="0.25">
      <c r="A936" s="39" t="s">
        <v>11</v>
      </c>
      <c r="B936" s="46" t="s">
        <v>521</v>
      </c>
      <c r="C936" s="246"/>
      <c r="D936" s="47" t="s">
        <v>469</v>
      </c>
      <c r="E936" s="39"/>
      <c r="F936" s="39"/>
      <c r="G936" s="39" t="s">
        <v>652</v>
      </c>
      <c r="H936" s="24">
        <f>SUM(H928:H935)</f>
        <v>3864.0400000000004</v>
      </c>
      <c r="I936" s="24">
        <v>5399.12</v>
      </c>
      <c r="J936" s="24">
        <f t="shared" ref="J936:P936" si="248">SUM(J928:J935)</f>
        <v>5066</v>
      </c>
      <c r="K936" s="24">
        <f t="shared" si="248"/>
        <v>2969</v>
      </c>
      <c r="L936" s="24">
        <f t="shared" si="248"/>
        <v>1659.8899999999999</v>
      </c>
      <c r="M936" s="24">
        <f t="shared" si="248"/>
        <v>1310.3900000000001</v>
      </c>
      <c r="N936" s="24">
        <f t="shared" si="248"/>
        <v>4768</v>
      </c>
      <c r="O936" s="24">
        <f t="shared" si="248"/>
        <v>4768</v>
      </c>
      <c r="P936" s="215">
        <f t="shared" si="248"/>
        <v>4768</v>
      </c>
    </row>
    <row r="937" spans="1:16" ht="15" hidden="1" customHeight="1" outlineLevel="1" x14ac:dyDescent="0.25">
      <c r="A937" s="39" t="s">
        <v>11</v>
      </c>
      <c r="B937" s="46" t="s">
        <v>521</v>
      </c>
      <c r="C937" s="246"/>
      <c r="D937" s="47" t="s">
        <v>54</v>
      </c>
      <c r="E937" s="39" t="s">
        <v>14</v>
      </c>
      <c r="F937" s="39" t="s">
        <v>411</v>
      </c>
      <c r="G937" s="39" t="s">
        <v>55</v>
      </c>
      <c r="H937" s="42">
        <v>28.36</v>
      </c>
      <c r="I937" s="42">
        <v>17.399999999999999</v>
      </c>
      <c r="J937" s="42">
        <v>0</v>
      </c>
      <c r="K937" s="42">
        <v>0</v>
      </c>
      <c r="L937" s="42">
        <v>0</v>
      </c>
      <c r="M937" s="42">
        <v>0</v>
      </c>
      <c r="N937" s="42">
        <v>20</v>
      </c>
      <c r="O937" s="42">
        <f t="shared" si="245"/>
        <v>20</v>
      </c>
      <c r="P937" s="203">
        <f t="shared" si="246"/>
        <v>20</v>
      </c>
    </row>
    <row r="938" spans="1:16" ht="15" hidden="1" customHeight="1" outlineLevel="1" x14ac:dyDescent="0.25">
      <c r="A938" s="39"/>
      <c r="B938" s="46"/>
      <c r="C938" s="246"/>
      <c r="D938" s="47" t="s">
        <v>54</v>
      </c>
      <c r="E938" s="39" t="s">
        <v>17</v>
      </c>
      <c r="F938" s="39" t="s">
        <v>411</v>
      </c>
      <c r="G938" s="39" t="s">
        <v>55</v>
      </c>
      <c r="H938" s="42">
        <v>0</v>
      </c>
      <c r="I938" s="42">
        <v>0</v>
      </c>
      <c r="J938" s="42">
        <v>50</v>
      </c>
      <c r="K938" s="42">
        <v>50</v>
      </c>
      <c r="L938" s="42">
        <v>0</v>
      </c>
      <c r="M938" s="42">
        <v>0</v>
      </c>
      <c r="N938" s="42">
        <v>0</v>
      </c>
      <c r="O938" s="42">
        <f t="shared" si="245"/>
        <v>0</v>
      </c>
      <c r="P938" s="203">
        <f t="shared" si="246"/>
        <v>0</v>
      </c>
    </row>
    <row r="939" spans="1:16" collapsed="1" x14ac:dyDescent="0.25">
      <c r="A939" s="39" t="s">
        <v>11</v>
      </c>
      <c r="B939" s="46" t="s">
        <v>521</v>
      </c>
      <c r="C939" s="246"/>
      <c r="D939" s="47" t="s">
        <v>480</v>
      </c>
      <c r="E939" s="39"/>
      <c r="F939" s="39"/>
      <c r="G939" s="39" t="s">
        <v>676</v>
      </c>
      <c r="H939" s="24">
        <f>SUM(H937:H938)</f>
        <v>28.36</v>
      </c>
      <c r="I939" s="24">
        <f t="shared" ref="I939:P939" si="249">SUM(I937:I938)</f>
        <v>17.399999999999999</v>
      </c>
      <c r="J939" s="24">
        <f t="shared" si="249"/>
        <v>50</v>
      </c>
      <c r="K939" s="24">
        <f t="shared" si="249"/>
        <v>50</v>
      </c>
      <c r="L939" s="24">
        <f t="shared" si="249"/>
        <v>0</v>
      </c>
      <c r="M939" s="24">
        <f t="shared" si="249"/>
        <v>0</v>
      </c>
      <c r="N939" s="24">
        <f t="shared" si="249"/>
        <v>20</v>
      </c>
      <c r="O939" s="24">
        <f t="shared" si="249"/>
        <v>20</v>
      </c>
      <c r="P939" s="215">
        <f t="shared" si="249"/>
        <v>20</v>
      </c>
    </row>
    <row r="940" spans="1:16" ht="15" hidden="1" customHeight="1" outlineLevel="1" x14ac:dyDescent="0.25">
      <c r="A940" s="39" t="s">
        <v>11</v>
      </c>
      <c r="B940" s="46" t="s">
        <v>521</v>
      </c>
      <c r="C940" s="246"/>
      <c r="D940" s="47" t="s">
        <v>56</v>
      </c>
      <c r="E940" s="39" t="s">
        <v>17</v>
      </c>
      <c r="F940" s="39" t="s">
        <v>411</v>
      </c>
      <c r="G940" s="39" t="s">
        <v>197</v>
      </c>
      <c r="H940" s="42">
        <v>144.46</v>
      </c>
      <c r="I940" s="42">
        <v>54.69</v>
      </c>
      <c r="J940" s="42">
        <v>100</v>
      </c>
      <c r="K940" s="42">
        <v>100</v>
      </c>
      <c r="L940" s="42">
        <v>50</v>
      </c>
      <c r="M940" s="42">
        <v>40.9</v>
      </c>
      <c r="N940" s="42">
        <v>60</v>
      </c>
      <c r="O940" s="42">
        <f t="shared" si="245"/>
        <v>60</v>
      </c>
      <c r="P940" s="203">
        <f t="shared" si="246"/>
        <v>60</v>
      </c>
    </row>
    <row r="941" spans="1:16" ht="15" hidden="1" customHeight="1" outlineLevel="1" x14ac:dyDescent="0.25">
      <c r="A941" s="39" t="s">
        <v>11</v>
      </c>
      <c r="B941" s="46" t="s">
        <v>521</v>
      </c>
      <c r="C941" s="246"/>
      <c r="D941" s="47" t="s">
        <v>56</v>
      </c>
      <c r="E941" s="39" t="s">
        <v>17</v>
      </c>
      <c r="F941" s="39" t="s">
        <v>411</v>
      </c>
      <c r="G941" s="39" t="s">
        <v>198</v>
      </c>
      <c r="H941" s="42">
        <v>0</v>
      </c>
      <c r="I941" s="42">
        <v>94.69</v>
      </c>
      <c r="J941" s="42">
        <v>100</v>
      </c>
      <c r="K941" s="42">
        <v>100</v>
      </c>
      <c r="L941" s="42">
        <v>40</v>
      </c>
      <c r="M941" s="42">
        <v>36.6</v>
      </c>
      <c r="N941" s="42">
        <v>60</v>
      </c>
      <c r="O941" s="42">
        <f t="shared" si="245"/>
        <v>60</v>
      </c>
      <c r="P941" s="203">
        <f t="shared" si="246"/>
        <v>60</v>
      </c>
    </row>
    <row r="942" spans="1:16" hidden="1" outlineLevel="1" collapsed="1" x14ac:dyDescent="0.25">
      <c r="A942" s="39" t="s">
        <v>11</v>
      </c>
      <c r="B942" s="46" t="s">
        <v>521</v>
      </c>
      <c r="C942" s="246"/>
      <c r="D942" s="47" t="s">
        <v>65</v>
      </c>
      <c r="E942" s="39" t="s">
        <v>17</v>
      </c>
      <c r="F942" s="39" t="s">
        <v>411</v>
      </c>
      <c r="G942" s="39" t="s">
        <v>66</v>
      </c>
      <c r="H942" s="42">
        <v>73.650000000000006</v>
      </c>
      <c r="I942" s="42">
        <v>14.27</v>
      </c>
      <c r="J942" s="42">
        <v>80</v>
      </c>
      <c r="K942" s="42">
        <v>80</v>
      </c>
      <c r="L942" s="42">
        <v>50</v>
      </c>
      <c r="M942" s="42">
        <v>11.96</v>
      </c>
      <c r="N942" s="42">
        <v>50</v>
      </c>
      <c r="O942" s="42">
        <f t="shared" si="245"/>
        <v>50</v>
      </c>
      <c r="P942" s="203">
        <f t="shared" si="246"/>
        <v>50</v>
      </c>
    </row>
    <row r="943" spans="1:16" ht="15" hidden="1" customHeight="1" outlineLevel="1" x14ac:dyDescent="0.25">
      <c r="A943" s="39"/>
      <c r="B943" s="46"/>
      <c r="C943" s="246"/>
      <c r="D943" s="47" t="s">
        <v>74</v>
      </c>
      <c r="E943" s="39" t="s">
        <v>17</v>
      </c>
      <c r="F943" s="39" t="s">
        <v>411</v>
      </c>
      <c r="G943" s="39" t="s">
        <v>413</v>
      </c>
      <c r="H943" s="42">
        <v>88.61</v>
      </c>
      <c r="I943" s="42">
        <v>59.02</v>
      </c>
      <c r="J943" s="42">
        <v>70</v>
      </c>
      <c r="K943" s="42">
        <v>70</v>
      </c>
      <c r="L943" s="42">
        <v>20</v>
      </c>
      <c r="M943" s="42">
        <v>9.7799999999999994</v>
      </c>
      <c r="N943" s="42">
        <v>60</v>
      </c>
      <c r="O943" s="42">
        <f t="shared" si="245"/>
        <v>60</v>
      </c>
      <c r="P943" s="203">
        <f t="shared" si="246"/>
        <v>60</v>
      </c>
    </row>
    <row r="944" spans="1:16" ht="15" customHeight="1" collapsed="1" x14ac:dyDescent="0.25">
      <c r="A944" s="39" t="s">
        <v>11</v>
      </c>
      <c r="B944" s="46" t="s">
        <v>521</v>
      </c>
      <c r="C944" s="246"/>
      <c r="D944" s="47" t="s">
        <v>481</v>
      </c>
      <c r="E944" s="39"/>
      <c r="F944" s="39"/>
      <c r="G944" s="39" t="s">
        <v>567</v>
      </c>
      <c r="H944" s="24">
        <f>SUM(H940:H943)</f>
        <v>306.72000000000003</v>
      </c>
      <c r="I944" s="24">
        <f t="shared" ref="I944:P944" si="250">SUM(I940:I943)</f>
        <v>222.67000000000002</v>
      </c>
      <c r="J944" s="24">
        <f t="shared" si="250"/>
        <v>350</v>
      </c>
      <c r="K944" s="24">
        <f t="shared" si="250"/>
        <v>350</v>
      </c>
      <c r="L944" s="24">
        <f t="shared" si="250"/>
        <v>160</v>
      </c>
      <c r="M944" s="24">
        <f t="shared" si="250"/>
        <v>99.240000000000009</v>
      </c>
      <c r="N944" s="24">
        <f t="shared" si="250"/>
        <v>230</v>
      </c>
      <c r="O944" s="24">
        <f t="shared" si="250"/>
        <v>230</v>
      </c>
      <c r="P944" s="215">
        <f t="shared" si="250"/>
        <v>230</v>
      </c>
    </row>
    <row r="945" spans="1:18" ht="15" hidden="1" customHeight="1" outlineLevel="1" x14ac:dyDescent="0.25">
      <c r="A945" s="39" t="s">
        <v>11</v>
      </c>
      <c r="B945" s="46" t="s">
        <v>521</v>
      </c>
      <c r="C945" s="246"/>
      <c r="D945" s="47" t="s">
        <v>88</v>
      </c>
      <c r="E945" s="39" t="s">
        <v>14</v>
      </c>
      <c r="F945" s="39" t="s">
        <v>411</v>
      </c>
      <c r="G945" s="39" t="s">
        <v>92</v>
      </c>
      <c r="H945" s="42">
        <v>0</v>
      </c>
      <c r="I945" s="42">
        <v>0</v>
      </c>
      <c r="J945" s="42">
        <v>0</v>
      </c>
      <c r="K945" s="42">
        <v>8047</v>
      </c>
      <c r="L945" s="42">
        <v>8000</v>
      </c>
      <c r="M945" s="42">
        <v>0</v>
      </c>
      <c r="N945" s="42">
        <v>188</v>
      </c>
      <c r="O945" s="42">
        <f t="shared" si="245"/>
        <v>188</v>
      </c>
      <c r="P945" s="203">
        <f t="shared" si="246"/>
        <v>188</v>
      </c>
    </row>
    <row r="946" spans="1:18" ht="15" hidden="1" customHeight="1" outlineLevel="1" x14ac:dyDescent="0.25">
      <c r="A946" s="39" t="s">
        <v>11</v>
      </c>
      <c r="B946" s="46" t="s">
        <v>521</v>
      </c>
      <c r="C946" s="246"/>
      <c r="D946" s="47" t="s">
        <v>88</v>
      </c>
      <c r="E946" s="39" t="s">
        <v>17</v>
      </c>
      <c r="F946" s="39" t="s">
        <v>411</v>
      </c>
      <c r="G946" s="39" t="s">
        <v>200</v>
      </c>
      <c r="H946" s="42">
        <v>0</v>
      </c>
      <c r="I946" s="42">
        <v>0</v>
      </c>
      <c r="J946" s="42">
        <v>30</v>
      </c>
      <c r="K946" s="42">
        <v>80</v>
      </c>
      <c r="L946" s="42">
        <v>50</v>
      </c>
      <c r="M946" s="42">
        <v>37.43</v>
      </c>
      <c r="N946" s="42">
        <v>50</v>
      </c>
      <c r="O946" s="42">
        <f t="shared" si="245"/>
        <v>50</v>
      </c>
      <c r="P946" s="203">
        <f t="shared" si="246"/>
        <v>50</v>
      </c>
    </row>
    <row r="947" spans="1:18" hidden="1" outlineLevel="1" collapsed="1" x14ac:dyDescent="0.25">
      <c r="A947" s="39" t="s">
        <v>11</v>
      </c>
      <c r="B947" s="46" t="s">
        <v>521</v>
      </c>
      <c r="C947" s="246"/>
      <c r="D947" s="47" t="s">
        <v>88</v>
      </c>
      <c r="E947" s="39" t="s">
        <v>17</v>
      </c>
      <c r="F947" s="39" t="s">
        <v>411</v>
      </c>
      <c r="G947" s="39" t="s">
        <v>92</v>
      </c>
      <c r="H947" s="42">
        <v>0</v>
      </c>
      <c r="I947" s="42">
        <v>4.24</v>
      </c>
      <c r="J947" s="42">
        <v>30</v>
      </c>
      <c r="K947" s="42">
        <v>40</v>
      </c>
      <c r="L947" s="42">
        <v>0</v>
      </c>
      <c r="M947" s="42">
        <v>0</v>
      </c>
      <c r="N947" s="42">
        <v>0</v>
      </c>
      <c r="O947" s="42">
        <f t="shared" si="245"/>
        <v>0</v>
      </c>
      <c r="P947" s="203">
        <f t="shared" si="246"/>
        <v>0</v>
      </c>
    </row>
    <row r="948" spans="1:18" ht="15" hidden="1" customHeight="1" outlineLevel="1" x14ac:dyDescent="0.25">
      <c r="A948" s="39" t="s">
        <v>11</v>
      </c>
      <c r="B948" s="46" t="s">
        <v>521</v>
      </c>
      <c r="C948" s="246"/>
      <c r="D948" s="47" t="s">
        <v>101</v>
      </c>
      <c r="E948" s="39" t="s">
        <v>17</v>
      </c>
      <c r="F948" s="39" t="s">
        <v>411</v>
      </c>
      <c r="G948" s="39" t="s">
        <v>102</v>
      </c>
      <c r="H948" s="42">
        <v>0</v>
      </c>
      <c r="I948" s="42">
        <v>0</v>
      </c>
      <c r="J948" s="42">
        <v>25</v>
      </c>
      <c r="K948" s="42">
        <v>25</v>
      </c>
      <c r="L948" s="42">
        <v>25</v>
      </c>
      <c r="M948" s="42">
        <v>25</v>
      </c>
      <c r="N948" s="42">
        <v>50</v>
      </c>
      <c r="O948" s="42">
        <f t="shared" si="245"/>
        <v>50</v>
      </c>
      <c r="P948" s="203">
        <f t="shared" si="246"/>
        <v>50</v>
      </c>
    </row>
    <row r="949" spans="1:18" ht="15" hidden="1" customHeight="1" outlineLevel="1" x14ac:dyDescent="0.25">
      <c r="A949" s="39" t="s">
        <v>11</v>
      </c>
      <c r="B949" s="46" t="s">
        <v>521</v>
      </c>
      <c r="C949" s="246"/>
      <c r="D949" s="47" t="s">
        <v>103</v>
      </c>
      <c r="E949" s="39" t="s">
        <v>17</v>
      </c>
      <c r="F949" s="39" t="s">
        <v>411</v>
      </c>
      <c r="G949" s="39" t="s">
        <v>104</v>
      </c>
      <c r="H949" s="42">
        <v>50</v>
      </c>
      <c r="I949" s="42">
        <v>49.99</v>
      </c>
      <c r="J949" s="42">
        <v>50</v>
      </c>
      <c r="K949" s="42">
        <v>50</v>
      </c>
      <c r="L949" s="42">
        <v>0</v>
      </c>
      <c r="M949" s="42">
        <v>0</v>
      </c>
      <c r="N949" s="42">
        <v>50</v>
      </c>
      <c r="O949" s="42">
        <f t="shared" si="245"/>
        <v>50</v>
      </c>
      <c r="P949" s="203">
        <f t="shared" si="246"/>
        <v>50</v>
      </c>
    </row>
    <row r="950" spans="1:18" ht="15" hidden="1" customHeight="1" outlineLevel="1" x14ac:dyDescent="0.25">
      <c r="A950" s="39"/>
      <c r="B950" s="46"/>
      <c r="C950" s="246"/>
      <c r="D950" s="47" t="s">
        <v>105</v>
      </c>
      <c r="E950" s="39" t="s">
        <v>17</v>
      </c>
      <c r="F950" s="39" t="s">
        <v>411</v>
      </c>
      <c r="G950" s="39" t="s">
        <v>106</v>
      </c>
      <c r="H950" s="42">
        <v>27.01</v>
      </c>
      <c r="I950" s="42">
        <v>16.3</v>
      </c>
      <c r="J950" s="42">
        <v>27</v>
      </c>
      <c r="K950" s="42">
        <v>27</v>
      </c>
      <c r="L950" s="42">
        <v>10.71</v>
      </c>
      <c r="M950" s="42">
        <v>10.71</v>
      </c>
      <c r="N950" s="42">
        <v>100</v>
      </c>
      <c r="O950" s="42">
        <f t="shared" si="245"/>
        <v>100</v>
      </c>
      <c r="P950" s="203">
        <f t="shared" si="246"/>
        <v>100</v>
      </c>
    </row>
    <row r="951" spans="1:18" ht="15" customHeight="1" collapsed="1" x14ac:dyDescent="0.25">
      <c r="A951" s="39" t="s">
        <v>11</v>
      </c>
      <c r="B951" s="46" t="s">
        <v>521</v>
      </c>
      <c r="C951" s="246"/>
      <c r="D951" s="47" t="s">
        <v>470</v>
      </c>
      <c r="E951" s="39"/>
      <c r="F951" s="39"/>
      <c r="G951" s="39" t="s">
        <v>471</v>
      </c>
      <c r="H951" s="24">
        <f>SUM(H945:H950)</f>
        <v>77.010000000000005</v>
      </c>
      <c r="I951" s="24">
        <f t="shared" ref="I951:P951" si="251">SUM(I945:I950)</f>
        <v>70.53</v>
      </c>
      <c r="J951" s="24">
        <f t="shared" si="251"/>
        <v>162</v>
      </c>
      <c r="K951" s="24">
        <f t="shared" si="251"/>
        <v>8269</v>
      </c>
      <c r="L951" s="24">
        <f t="shared" si="251"/>
        <v>8085.71</v>
      </c>
      <c r="M951" s="24">
        <f t="shared" si="251"/>
        <v>73.14</v>
      </c>
      <c r="N951" s="24">
        <f t="shared" si="251"/>
        <v>438</v>
      </c>
      <c r="O951" s="24">
        <f t="shared" si="251"/>
        <v>438</v>
      </c>
      <c r="P951" s="215">
        <f t="shared" si="251"/>
        <v>438</v>
      </c>
    </row>
    <row r="952" spans="1:18" ht="15" hidden="1" customHeight="1" outlineLevel="1" x14ac:dyDescent="0.25">
      <c r="A952" s="39" t="s">
        <v>11</v>
      </c>
      <c r="B952" s="46" t="s">
        <v>521</v>
      </c>
      <c r="C952" s="246"/>
      <c r="D952" s="47" t="s">
        <v>128</v>
      </c>
      <c r="E952" s="39" t="s">
        <v>14</v>
      </c>
      <c r="F952" s="39" t="s">
        <v>411</v>
      </c>
      <c r="G952" s="39" t="s">
        <v>130</v>
      </c>
      <c r="H952" s="42">
        <v>170</v>
      </c>
      <c r="I952" s="42">
        <v>0</v>
      </c>
      <c r="J952" s="42">
        <v>0</v>
      </c>
      <c r="K952" s="42">
        <v>0</v>
      </c>
      <c r="L952" s="42">
        <v>0</v>
      </c>
      <c r="M952" s="42">
        <v>0</v>
      </c>
      <c r="N952" s="42">
        <v>150</v>
      </c>
      <c r="O952" s="42">
        <f t="shared" si="245"/>
        <v>150</v>
      </c>
      <c r="P952" s="203">
        <f t="shared" si="246"/>
        <v>150</v>
      </c>
    </row>
    <row r="953" spans="1:18" ht="15" hidden="1" customHeight="1" outlineLevel="1" x14ac:dyDescent="0.25">
      <c r="A953" s="39" t="s">
        <v>11</v>
      </c>
      <c r="B953" s="46" t="s">
        <v>521</v>
      </c>
      <c r="C953" s="246"/>
      <c r="D953" s="47" t="s">
        <v>128</v>
      </c>
      <c r="E953" s="39" t="s">
        <v>17</v>
      </c>
      <c r="F953" s="39" t="s">
        <v>411</v>
      </c>
      <c r="G953" s="39" t="s">
        <v>130</v>
      </c>
      <c r="H953" s="42">
        <v>0</v>
      </c>
      <c r="I953" s="42">
        <v>0</v>
      </c>
      <c r="J953" s="42">
        <v>30</v>
      </c>
      <c r="K953" s="42">
        <v>45</v>
      </c>
      <c r="L953" s="42">
        <v>35</v>
      </c>
      <c r="M953" s="42">
        <v>35</v>
      </c>
      <c r="N953" s="42">
        <v>0</v>
      </c>
      <c r="O953" s="42">
        <f t="shared" si="245"/>
        <v>0</v>
      </c>
      <c r="P953" s="203">
        <f t="shared" si="246"/>
        <v>0</v>
      </c>
    </row>
    <row r="954" spans="1:18" hidden="1" outlineLevel="1" collapsed="1" x14ac:dyDescent="0.25">
      <c r="A954" s="39" t="s">
        <v>11</v>
      </c>
      <c r="B954" s="46" t="s">
        <v>521</v>
      </c>
      <c r="C954" s="246"/>
      <c r="D954" s="47" t="s">
        <v>151</v>
      </c>
      <c r="E954" s="39" t="s">
        <v>14</v>
      </c>
      <c r="F954" s="39" t="s">
        <v>411</v>
      </c>
      <c r="G954" s="39" t="s">
        <v>152</v>
      </c>
      <c r="H954" s="42">
        <v>414.95</v>
      </c>
      <c r="I954" s="42">
        <v>0</v>
      </c>
      <c r="J954" s="42">
        <v>0</v>
      </c>
      <c r="K954" s="42">
        <v>0</v>
      </c>
      <c r="L954" s="42">
        <v>0</v>
      </c>
      <c r="M954" s="42">
        <v>0</v>
      </c>
      <c r="N954" s="42">
        <v>400</v>
      </c>
      <c r="O954" s="42">
        <f t="shared" si="245"/>
        <v>400</v>
      </c>
      <c r="P954" s="203">
        <f t="shared" si="246"/>
        <v>400</v>
      </c>
      <c r="Q954" s="78"/>
      <c r="R954" s="78"/>
    </row>
    <row r="955" spans="1:18" ht="15" hidden="1" customHeight="1" outlineLevel="1" x14ac:dyDescent="0.25">
      <c r="A955" s="39" t="s">
        <v>11</v>
      </c>
      <c r="B955" s="46" t="s">
        <v>521</v>
      </c>
      <c r="C955" s="246"/>
      <c r="D955" s="47" t="s">
        <v>151</v>
      </c>
      <c r="E955" s="39" t="s">
        <v>17</v>
      </c>
      <c r="F955" s="39" t="s">
        <v>411</v>
      </c>
      <c r="G955" s="39" t="s">
        <v>152</v>
      </c>
      <c r="H955" s="42">
        <v>0</v>
      </c>
      <c r="I955" s="42">
        <v>409.07</v>
      </c>
      <c r="J955" s="42">
        <v>477</v>
      </c>
      <c r="K955" s="42">
        <v>452</v>
      </c>
      <c r="L955" s="42">
        <f>M955</f>
        <v>75.25</v>
      </c>
      <c r="M955" s="42">
        <v>75.25</v>
      </c>
      <c r="N955" s="42">
        <v>561</v>
      </c>
      <c r="O955" s="42">
        <f t="shared" si="245"/>
        <v>561</v>
      </c>
      <c r="P955" s="203">
        <f t="shared" si="246"/>
        <v>561</v>
      </c>
    </row>
    <row r="956" spans="1:18" ht="15" hidden="1" customHeight="1" outlineLevel="1" x14ac:dyDescent="0.25">
      <c r="A956" s="39"/>
      <c r="B956" s="46"/>
      <c r="C956" s="246"/>
      <c r="D956" s="47" t="s">
        <v>155</v>
      </c>
      <c r="E956" s="39" t="s">
        <v>14</v>
      </c>
      <c r="F956" s="39" t="s">
        <v>411</v>
      </c>
      <c r="G956" s="39" t="s">
        <v>156</v>
      </c>
      <c r="H956" s="42">
        <v>130.43</v>
      </c>
      <c r="I956" s="42">
        <f>170+34.46</f>
        <v>204.46</v>
      </c>
      <c r="J956" s="42">
        <v>186</v>
      </c>
      <c r="K956" s="42">
        <v>186</v>
      </c>
      <c r="L956" s="42">
        <f>M956+Q928*0.01</f>
        <v>31.43</v>
      </c>
      <c r="M956" s="42">
        <v>31.43</v>
      </c>
      <c r="N956" s="42">
        <v>133</v>
      </c>
      <c r="O956" s="42">
        <f t="shared" si="245"/>
        <v>133</v>
      </c>
      <c r="P956" s="203">
        <f t="shared" si="246"/>
        <v>133</v>
      </c>
    </row>
    <row r="957" spans="1:18" ht="15" customHeight="1" collapsed="1" thickBot="1" x14ac:dyDescent="0.3">
      <c r="A957" s="6"/>
      <c r="B957" s="75"/>
      <c r="C957" s="246"/>
      <c r="D957" s="59" t="s">
        <v>478</v>
      </c>
      <c r="E957" s="45"/>
      <c r="F957" s="45"/>
      <c r="G957" s="45" t="s">
        <v>479</v>
      </c>
      <c r="H957" s="29">
        <f>SUM(H952:H956)</f>
        <v>715.38000000000011</v>
      </c>
      <c r="I957" s="29">
        <f t="shared" ref="I957:P957" si="252">SUM(I952:I956)</f>
        <v>613.53</v>
      </c>
      <c r="J957" s="29">
        <f t="shared" si="252"/>
        <v>693</v>
      </c>
      <c r="K957" s="29">
        <f t="shared" si="252"/>
        <v>683</v>
      </c>
      <c r="L957" s="29">
        <f t="shared" si="252"/>
        <v>141.68</v>
      </c>
      <c r="M957" s="29">
        <f t="shared" si="252"/>
        <v>141.68</v>
      </c>
      <c r="N957" s="29">
        <f t="shared" si="252"/>
        <v>1244</v>
      </c>
      <c r="O957" s="29">
        <f t="shared" si="252"/>
        <v>1244</v>
      </c>
      <c r="P957" s="217">
        <f t="shared" si="252"/>
        <v>1244</v>
      </c>
    </row>
    <row r="958" spans="1:18" ht="15" customHeight="1" thickBot="1" x14ac:dyDescent="0.3">
      <c r="A958" s="6"/>
      <c r="B958" s="75"/>
      <c r="C958" s="247"/>
      <c r="D958" s="69">
        <v>600</v>
      </c>
      <c r="E958" s="70"/>
      <c r="F958" s="70"/>
      <c r="G958" s="122" t="s">
        <v>677</v>
      </c>
      <c r="H958" s="73">
        <f>H957+H951+H944+H939+H936+H927</f>
        <v>15678.34</v>
      </c>
      <c r="I958" s="73">
        <f t="shared" ref="I958:P958" si="253">I957+I951+I944+I939+I936+I927</f>
        <v>21358.690000000002</v>
      </c>
      <c r="J958" s="73">
        <f t="shared" si="253"/>
        <v>20463</v>
      </c>
      <c r="K958" s="73">
        <f t="shared" si="253"/>
        <v>20463</v>
      </c>
      <c r="L958" s="73">
        <f t="shared" si="253"/>
        <v>14765.419999999998</v>
      </c>
      <c r="M958" s="73">
        <f t="shared" si="253"/>
        <v>5342.59</v>
      </c>
      <c r="N958" s="73">
        <f t="shared" si="253"/>
        <v>20000</v>
      </c>
      <c r="O958" s="73">
        <f t="shared" si="253"/>
        <v>20000</v>
      </c>
      <c r="P958" s="123">
        <f t="shared" si="253"/>
        <v>20000</v>
      </c>
    </row>
    <row r="959" spans="1:18" ht="18.75" customHeight="1" thickBot="1" x14ac:dyDescent="0.3">
      <c r="A959" s="1" t="s">
        <v>11</v>
      </c>
      <c r="B959" s="13" t="s">
        <v>551</v>
      </c>
      <c r="C959" s="161" t="s">
        <v>570</v>
      </c>
      <c r="D959" s="162"/>
      <c r="E959" s="163"/>
      <c r="F959" s="164"/>
      <c r="G959" s="164" t="s">
        <v>681</v>
      </c>
      <c r="H959" s="164">
        <f>H981</f>
        <v>138469.70000000001</v>
      </c>
      <c r="I959" s="164">
        <f t="shared" ref="I959:P959" si="254">I981</f>
        <v>177864.68</v>
      </c>
      <c r="J959" s="164">
        <f t="shared" si="254"/>
        <v>222582</v>
      </c>
      <c r="K959" s="164">
        <f t="shared" si="254"/>
        <v>222582</v>
      </c>
      <c r="L959" s="164">
        <f t="shared" si="254"/>
        <v>188352.69850000003</v>
      </c>
      <c r="M959" s="164">
        <f t="shared" si="254"/>
        <v>149580.16999999998</v>
      </c>
      <c r="N959" s="164">
        <f t="shared" si="254"/>
        <v>231171</v>
      </c>
      <c r="O959" s="164">
        <f t="shared" si="254"/>
        <v>231171</v>
      </c>
      <c r="P959" s="165">
        <f t="shared" si="254"/>
        <v>231171</v>
      </c>
    </row>
    <row r="960" spans="1:18" ht="15" hidden="1" customHeight="1" outlineLevel="1" x14ac:dyDescent="0.25">
      <c r="A960" s="39"/>
      <c r="B960" s="46"/>
      <c r="C960" s="170"/>
      <c r="D960" s="47" t="s">
        <v>13</v>
      </c>
      <c r="E960" s="39" t="s">
        <v>17</v>
      </c>
      <c r="F960" s="39" t="s">
        <v>414</v>
      </c>
      <c r="G960" s="39" t="s">
        <v>19</v>
      </c>
      <c r="H960" s="42">
        <v>97294.74</v>
      </c>
      <c r="I960" s="42">
        <v>124809.51</v>
      </c>
      <c r="J960" s="42">
        <v>155561</v>
      </c>
      <c r="K960" s="42">
        <v>155561</v>
      </c>
      <c r="L960" s="42">
        <v>133345.78</v>
      </c>
      <c r="M960" s="42">
        <v>106070.78</v>
      </c>
      <c r="N960" s="42">
        <v>158000</v>
      </c>
      <c r="O960" s="42">
        <f t="shared" ref="O960:O961" si="255">N960</f>
        <v>158000</v>
      </c>
      <c r="P960" s="203">
        <f t="shared" ref="P960:P961" si="256">N960</f>
        <v>158000</v>
      </c>
    </row>
    <row r="961" spans="1:20" ht="15" hidden="1" customHeight="1" outlineLevel="1" x14ac:dyDescent="0.25">
      <c r="A961" s="39"/>
      <c r="B961" s="46"/>
      <c r="C961" s="171"/>
      <c r="D961" s="47" t="s">
        <v>549</v>
      </c>
      <c r="E961" s="39" t="s">
        <v>17</v>
      </c>
      <c r="F961" s="39" t="s">
        <v>414</v>
      </c>
      <c r="G961" s="39" t="s">
        <v>550</v>
      </c>
      <c r="H961" s="42">
        <v>0</v>
      </c>
      <c r="I961" s="42">
        <v>0</v>
      </c>
      <c r="J961" s="42">
        <v>0</v>
      </c>
      <c r="K961" s="42">
        <v>0</v>
      </c>
      <c r="L961" s="42">
        <v>0</v>
      </c>
      <c r="M961" s="42">
        <v>0</v>
      </c>
      <c r="N961" s="42">
        <v>2125</v>
      </c>
      <c r="O961" s="42">
        <f t="shared" si="255"/>
        <v>2125</v>
      </c>
      <c r="P961" s="203">
        <f t="shared" si="256"/>
        <v>2125</v>
      </c>
    </row>
    <row r="962" spans="1:20" ht="15" customHeight="1" collapsed="1" x14ac:dyDescent="0.25">
      <c r="A962" s="39" t="s">
        <v>11</v>
      </c>
      <c r="B962" s="46" t="s">
        <v>551</v>
      </c>
      <c r="C962" s="171"/>
      <c r="D962" s="47" t="s">
        <v>468</v>
      </c>
      <c r="E962" s="39"/>
      <c r="F962" s="39"/>
      <c r="G962" s="20" t="s">
        <v>610</v>
      </c>
      <c r="H962" s="24">
        <f>H960+H961</f>
        <v>97294.74</v>
      </c>
      <c r="I962" s="24">
        <f t="shared" ref="I962:P962" si="257">I960+I961</f>
        <v>124809.51</v>
      </c>
      <c r="J962" s="24">
        <f t="shared" si="257"/>
        <v>155561</v>
      </c>
      <c r="K962" s="24">
        <f t="shared" si="257"/>
        <v>155561</v>
      </c>
      <c r="L962" s="24">
        <f t="shared" si="257"/>
        <v>133345.78</v>
      </c>
      <c r="M962" s="24">
        <f t="shared" si="257"/>
        <v>106070.78</v>
      </c>
      <c r="N962" s="24">
        <f t="shared" si="257"/>
        <v>160125</v>
      </c>
      <c r="O962" s="24">
        <f t="shared" si="257"/>
        <v>160125</v>
      </c>
      <c r="P962" s="215">
        <f t="shared" si="257"/>
        <v>160125</v>
      </c>
      <c r="T962" s="78"/>
    </row>
    <row r="963" spans="1:20" ht="15" hidden="1" customHeight="1" outlineLevel="1" x14ac:dyDescent="0.25">
      <c r="A963" s="39" t="s">
        <v>11</v>
      </c>
      <c r="B963" s="46" t="s">
        <v>551</v>
      </c>
      <c r="C963" s="171"/>
      <c r="D963" s="47" t="s">
        <v>22</v>
      </c>
      <c r="E963" s="39" t="s">
        <v>17</v>
      </c>
      <c r="F963" s="39" t="s">
        <v>414</v>
      </c>
      <c r="G963" s="39" t="s">
        <v>23</v>
      </c>
      <c r="H963" s="42">
        <v>5001.76</v>
      </c>
      <c r="I963" s="42">
        <v>6850.03</v>
      </c>
      <c r="J963" s="42">
        <v>8509</v>
      </c>
      <c r="K963" s="42">
        <v>8509</v>
      </c>
      <c r="L963" s="42">
        <v>8865.89</v>
      </c>
      <c r="M963" s="42">
        <v>6138.39</v>
      </c>
      <c r="N963" s="42">
        <v>10000</v>
      </c>
      <c r="O963" s="42">
        <f t="shared" ref="O963:O972" si="258">N963</f>
        <v>10000</v>
      </c>
      <c r="P963" s="203">
        <f t="shared" ref="P963:P972" si="259">N963</f>
        <v>10000</v>
      </c>
    </row>
    <row r="964" spans="1:20" ht="15" hidden="1" customHeight="1" outlineLevel="1" x14ac:dyDescent="0.25">
      <c r="A964" s="39" t="s">
        <v>11</v>
      </c>
      <c r="B964" s="46" t="s">
        <v>551</v>
      </c>
      <c r="C964" s="171"/>
      <c r="D964" s="47" t="s">
        <v>26</v>
      </c>
      <c r="E964" s="39" t="s">
        <v>17</v>
      </c>
      <c r="F964" s="39" t="s">
        <v>414</v>
      </c>
      <c r="G964" s="39" t="s">
        <v>205</v>
      </c>
      <c r="H964" s="42">
        <v>2759.98</v>
      </c>
      <c r="I964" s="42">
        <v>4592.84</v>
      </c>
      <c r="J964" s="42">
        <v>5875</v>
      </c>
      <c r="K964" s="42">
        <v>5875</v>
      </c>
      <c r="L964" s="42">
        <v>3543.1</v>
      </c>
      <c r="M964" s="42">
        <v>3543.1</v>
      </c>
      <c r="N964" s="42">
        <v>6000</v>
      </c>
      <c r="O964" s="42">
        <f t="shared" si="258"/>
        <v>6000</v>
      </c>
      <c r="P964" s="203">
        <f t="shared" si="259"/>
        <v>6000</v>
      </c>
    </row>
    <row r="965" spans="1:20" ht="15" hidden="1" customHeight="1" outlineLevel="1" x14ac:dyDescent="0.25">
      <c r="A965" s="39" t="s">
        <v>11</v>
      </c>
      <c r="B965" s="46" t="s">
        <v>551</v>
      </c>
      <c r="C965" s="171"/>
      <c r="D965" s="47" t="s">
        <v>26</v>
      </c>
      <c r="E965" s="39" t="s">
        <v>17</v>
      </c>
      <c r="F965" s="39" t="s">
        <v>414</v>
      </c>
      <c r="G965" s="39" t="s">
        <v>28</v>
      </c>
      <c r="H965" s="42">
        <v>213.64</v>
      </c>
      <c r="I965" s="42">
        <v>45</v>
      </c>
      <c r="J965" s="42">
        <v>1175</v>
      </c>
      <c r="K965" s="42">
        <v>1175</v>
      </c>
      <c r="L965" s="42">
        <v>0</v>
      </c>
      <c r="M965" s="42">
        <v>0</v>
      </c>
      <c r="N965" s="42">
        <v>0</v>
      </c>
      <c r="O965" s="42">
        <f t="shared" si="258"/>
        <v>0</v>
      </c>
      <c r="P965" s="203">
        <f t="shared" si="259"/>
        <v>0</v>
      </c>
    </row>
    <row r="966" spans="1:20" ht="15" hidden="1" customHeight="1" outlineLevel="1" x14ac:dyDescent="0.25">
      <c r="A966" s="39" t="s">
        <v>11</v>
      </c>
      <c r="B966" s="46" t="s">
        <v>551</v>
      </c>
      <c r="C966" s="171"/>
      <c r="D966" s="47" t="s">
        <v>52</v>
      </c>
      <c r="E966" s="39" t="s">
        <v>17</v>
      </c>
      <c r="F966" s="39" t="s">
        <v>414</v>
      </c>
      <c r="G966" s="39" t="s">
        <v>53</v>
      </c>
      <c r="H966" s="42">
        <v>0</v>
      </c>
      <c r="I966" s="42">
        <v>0</v>
      </c>
      <c r="J966" s="42">
        <v>0</v>
      </c>
      <c r="K966" s="42">
        <v>89</v>
      </c>
      <c r="L966" s="42">
        <v>100</v>
      </c>
      <c r="M966" s="42">
        <v>80</v>
      </c>
      <c r="N966" s="42">
        <v>120</v>
      </c>
      <c r="O966" s="42">
        <f t="shared" si="258"/>
        <v>120</v>
      </c>
      <c r="P966" s="203">
        <f t="shared" si="259"/>
        <v>120</v>
      </c>
    </row>
    <row r="967" spans="1:20" ht="15" hidden="1" customHeight="1" outlineLevel="1" x14ac:dyDescent="0.25">
      <c r="A967" s="39" t="s">
        <v>11</v>
      </c>
      <c r="B967" s="46" t="s">
        <v>551</v>
      </c>
      <c r="C967" s="171"/>
      <c r="D967" s="47" t="s">
        <v>29</v>
      </c>
      <c r="E967" s="39" t="s">
        <v>17</v>
      </c>
      <c r="F967" s="39" t="s">
        <v>414</v>
      </c>
      <c r="G967" s="39" t="s">
        <v>30</v>
      </c>
      <c r="H967" s="42">
        <v>1335.35</v>
      </c>
      <c r="I967" s="42">
        <v>1700</v>
      </c>
      <c r="J967" s="42">
        <v>2177</v>
      </c>
      <c r="K967" s="42">
        <v>2177</v>
      </c>
      <c r="L967" s="42">
        <v>1705.38</v>
      </c>
      <c r="M967" s="42">
        <v>1323.53</v>
      </c>
      <c r="N967" s="42">
        <v>2240</v>
      </c>
      <c r="O967" s="42">
        <f t="shared" si="258"/>
        <v>2240</v>
      </c>
      <c r="P967" s="203">
        <f t="shared" si="259"/>
        <v>2240</v>
      </c>
    </row>
    <row r="968" spans="1:20" ht="15" hidden="1" customHeight="1" outlineLevel="1" x14ac:dyDescent="0.25">
      <c r="A968" s="39" t="s">
        <v>11</v>
      </c>
      <c r="B968" s="46" t="s">
        <v>551</v>
      </c>
      <c r="C968" s="171"/>
      <c r="D968" s="47" t="s">
        <v>32</v>
      </c>
      <c r="E968" s="39" t="s">
        <v>17</v>
      </c>
      <c r="F968" s="39" t="s">
        <v>414</v>
      </c>
      <c r="G968" s="39" t="s">
        <v>34</v>
      </c>
      <c r="H968" s="42">
        <v>13357.18</v>
      </c>
      <c r="I968" s="42">
        <v>17006.82</v>
      </c>
      <c r="J968" s="42">
        <v>21778</v>
      </c>
      <c r="K968" s="42">
        <v>21778</v>
      </c>
      <c r="L968" s="42">
        <v>18440.8</v>
      </c>
      <c r="M968" s="42">
        <v>14622.3</v>
      </c>
      <c r="N968" s="42">
        <v>22400</v>
      </c>
      <c r="O968" s="42">
        <f t="shared" si="258"/>
        <v>22400</v>
      </c>
      <c r="P968" s="203">
        <f t="shared" si="259"/>
        <v>22400</v>
      </c>
    </row>
    <row r="969" spans="1:20" ht="15" hidden="1" customHeight="1" outlineLevel="1" x14ac:dyDescent="0.25">
      <c r="A969" s="39" t="s">
        <v>11</v>
      </c>
      <c r="B969" s="46" t="s">
        <v>551</v>
      </c>
      <c r="C969" s="171"/>
      <c r="D969" s="47" t="s">
        <v>36</v>
      </c>
      <c r="E969" s="39" t="s">
        <v>17</v>
      </c>
      <c r="F969" s="39" t="s">
        <v>414</v>
      </c>
      <c r="G969" s="39" t="s">
        <v>38</v>
      </c>
      <c r="H969" s="42">
        <v>762.86</v>
      </c>
      <c r="I969" s="42">
        <v>980.41</v>
      </c>
      <c r="J969" s="42">
        <v>1245</v>
      </c>
      <c r="K969" s="42">
        <v>1245</v>
      </c>
      <c r="L969" s="42">
        <v>1055.8699999999999</v>
      </c>
      <c r="M969" s="42">
        <v>837.67</v>
      </c>
      <c r="N969" s="42">
        <v>1280</v>
      </c>
      <c r="O969" s="42">
        <f t="shared" si="258"/>
        <v>1280</v>
      </c>
      <c r="P969" s="203">
        <f t="shared" si="259"/>
        <v>1280</v>
      </c>
    </row>
    <row r="970" spans="1:20" ht="15" hidden="1" customHeight="1" outlineLevel="1" x14ac:dyDescent="0.25">
      <c r="A970" s="39" t="s">
        <v>11</v>
      </c>
      <c r="B970" s="46" t="s">
        <v>551</v>
      </c>
      <c r="C970" s="171"/>
      <c r="D970" s="47" t="s">
        <v>40</v>
      </c>
      <c r="E970" s="39" t="s">
        <v>17</v>
      </c>
      <c r="F970" s="39" t="s">
        <v>414</v>
      </c>
      <c r="G970" s="39" t="s">
        <v>42</v>
      </c>
      <c r="H970" s="42">
        <v>2776.97</v>
      </c>
      <c r="I970" s="42">
        <v>3445.43</v>
      </c>
      <c r="J970" s="42">
        <v>4667</v>
      </c>
      <c r="K970" s="42">
        <v>4667</v>
      </c>
      <c r="L970" s="42">
        <v>3770.59</v>
      </c>
      <c r="M970" s="42">
        <v>2952.34</v>
      </c>
      <c r="N970" s="42">
        <v>4800</v>
      </c>
      <c r="O970" s="42">
        <f t="shared" si="258"/>
        <v>4800</v>
      </c>
      <c r="P970" s="203">
        <f t="shared" si="259"/>
        <v>4800</v>
      </c>
    </row>
    <row r="971" spans="1:20" ht="15" hidden="1" customHeight="1" outlineLevel="1" x14ac:dyDescent="0.25">
      <c r="A971" s="39" t="s">
        <v>11</v>
      </c>
      <c r="B971" s="46" t="s">
        <v>551</v>
      </c>
      <c r="C971" s="171"/>
      <c r="D971" s="47" t="s">
        <v>44</v>
      </c>
      <c r="E971" s="39" t="s">
        <v>17</v>
      </c>
      <c r="F971" s="39" t="s">
        <v>414</v>
      </c>
      <c r="G971" s="39" t="s">
        <v>46</v>
      </c>
      <c r="H971" s="42">
        <v>925.49</v>
      </c>
      <c r="I971" s="42">
        <v>1148.1199999999999</v>
      </c>
      <c r="J971" s="42">
        <v>1556</v>
      </c>
      <c r="K971" s="42">
        <v>1556</v>
      </c>
      <c r="L971" s="42">
        <v>1256.4299999999998</v>
      </c>
      <c r="M971" s="42">
        <v>983.68</v>
      </c>
      <c r="N971" s="42">
        <v>1600</v>
      </c>
      <c r="O971" s="42">
        <f t="shared" si="258"/>
        <v>1600</v>
      </c>
      <c r="P971" s="203">
        <f t="shared" si="259"/>
        <v>1600</v>
      </c>
    </row>
    <row r="972" spans="1:20" ht="15" hidden="1" customHeight="1" outlineLevel="1" x14ac:dyDescent="0.25">
      <c r="A972" s="39"/>
      <c r="B972" s="46"/>
      <c r="C972" s="171"/>
      <c r="D972" s="47" t="s">
        <v>48</v>
      </c>
      <c r="E972" s="39" t="s">
        <v>17</v>
      </c>
      <c r="F972" s="39" t="s">
        <v>414</v>
      </c>
      <c r="G972" s="39" t="s">
        <v>50</v>
      </c>
      <c r="H972" s="42">
        <v>4531.45</v>
      </c>
      <c r="I972" s="42">
        <v>5769.96</v>
      </c>
      <c r="J972" s="42">
        <v>7389</v>
      </c>
      <c r="K972" s="42">
        <v>7300</v>
      </c>
      <c r="L972" s="42">
        <v>6255.9224999999997</v>
      </c>
      <c r="M972" s="42">
        <v>4960.3599999999997</v>
      </c>
      <c r="N972" s="42">
        <v>7600</v>
      </c>
      <c r="O972" s="42">
        <f t="shared" si="258"/>
        <v>7600</v>
      </c>
      <c r="P972" s="203">
        <f t="shared" si="259"/>
        <v>7600</v>
      </c>
    </row>
    <row r="973" spans="1:20" ht="15" customHeight="1" collapsed="1" x14ac:dyDescent="0.25">
      <c r="A973" s="39" t="s">
        <v>11</v>
      </c>
      <c r="B973" s="46" t="s">
        <v>551</v>
      </c>
      <c r="C973" s="171"/>
      <c r="D973" s="47" t="s">
        <v>469</v>
      </c>
      <c r="E973" s="39"/>
      <c r="F973" s="39"/>
      <c r="G973" s="39" t="s">
        <v>652</v>
      </c>
      <c r="H973" s="24">
        <f>SUM(H963:H972)</f>
        <v>31664.680000000004</v>
      </c>
      <c r="I973" s="24">
        <f t="shared" ref="I973:P973" si="260">SUM(I963:I972)</f>
        <v>41538.61</v>
      </c>
      <c r="J973" s="24">
        <f t="shared" si="260"/>
        <v>54371</v>
      </c>
      <c r="K973" s="24">
        <f t="shared" si="260"/>
        <v>54371</v>
      </c>
      <c r="L973" s="24">
        <f t="shared" si="260"/>
        <v>44993.982500000006</v>
      </c>
      <c r="M973" s="24">
        <f t="shared" si="260"/>
        <v>35441.369999999995</v>
      </c>
      <c r="N973" s="24">
        <f t="shared" si="260"/>
        <v>56040</v>
      </c>
      <c r="O973" s="24">
        <f t="shared" si="260"/>
        <v>56040</v>
      </c>
      <c r="P973" s="215">
        <f t="shared" si="260"/>
        <v>56040</v>
      </c>
    </row>
    <row r="974" spans="1:20" ht="15" hidden="1" customHeight="1" outlineLevel="1" x14ac:dyDescent="0.25">
      <c r="A974" s="39"/>
      <c r="B974" s="46"/>
      <c r="C974" s="171"/>
      <c r="D974" s="47" t="s">
        <v>88</v>
      </c>
      <c r="E974" s="39" t="s">
        <v>17</v>
      </c>
      <c r="F974" s="39" t="s">
        <v>414</v>
      </c>
      <c r="G974" s="39" t="s">
        <v>200</v>
      </c>
      <c r="H974" s="42">
        <v>42.5</v>
      </c>
      <c r="I974" s="42">
        <v>16.43</v>
      </c>
      <c r="J974" s="42">
        <v>50</v>
      </c>
      <c r="K974" s="42">
        <v>50</v>
      </c>
      <c r="L974" s="42">
        <f>M974/10*12</f>
        <v>39.995999999999995</v>
      </c>
      <c r="M974" s="42">
        <v>33.33</v>
      </c>
      <c r="N974" s="42">
        <v>50</v>
      </c>
      <c r="O974" s="42">
        <f t="shared" ref="O974" si="261">N974</f>
        <v>50</v>
      </c>
      <c r="P974" s="203">
        <f t="shared" ref="P974" si="262">N974</f>
        <v>50</v>
      </c>
    </row>
    <row r="975" spans="1:20" ht="15" customHeight="1" collapsed="1" x14ac:dyDescent="0.25">
      <c r="A975" s="39" t="s">
        <v>11</v>
      </c>
      <c r="B975" s="46" t="s">
        <v>551</v>
      </c>
      <c r="C975" s="171"/>
      <c r="D975" s="47" t="s">
        <v>470</v>
      </c>
      <c r="E975" s="39"/>
      <c r="F975" s="39"/>
      <c r="G975" s="39" t="s">
        <v>471</v>
      </c>
      <c r="H975" s="24">
        <f>SUM(H974)</f>
        <v>42.5</v>
      </c>
      <c r="I975" s="24">
        <f t="shared" ref="I975:P975" si="263">SUM(I974)</f>
        <v>16.43</v>
      </c>
      <c r="J975" s="24">
        <f t="shared" si="263"/>
        <v>50</v>
      </c>
      <c r="K975" s="24">
        <f t="shared" si="263"/>
        <v>50</v>
      </c>
      <c r="L975" s="24">
        <f t="shared" si="263"/>
        <v>39.995999999999995</v>
      </c>
      <c r="M975" s="24">
        <f t="shared" si="263"/>
        <v>33.33</v>
      </c>
      <c r="N975" s="24">
        <f t="shared" si="263"/>
        <v>50</v>
      </c>
      <c r="O975" s="24">
        <f t="shared" si="263"/>
        <v>50</v>
      </c>
      <c r="P975" s="215">
        <f t="shared" si="263"/>
        <v>50</v>
      </c>
    </row>
    <row r="976" spans="1:20" ht="15" hidden="1" customHeight="1" outlineLevel="1" x14ac:dyDescent="0.25">
      <c r="A976" s="39" t="s">
        <v>11</v>
      </c>
      <c r="B976" s="46" t="s">
        <v>551</v>
      </c>
      <c r="C976" s="171"/>
      <c r="D976" s="47" t="s">
        <v>128</v>
      </c>
      <c r="E976" s="39" t="s">
        <v>17</v>
      </c>
      <c r="F976" s="39" t="s">
        <v>414</v>
      </c>
      <c r="G976" s="39" t="s">
        <v>129</v>
      </c>
      <c r="H976" s="42">
        <v>0</v>
      </c>
      <c r="I976" s="42">
        <v>201</v>
      </c>
      <c r="J976" s="42">
        <v>200</v>
      </c>
      <c r="K976" s="42">
        <v>200</v>
      </c>
      <c r="L976" s="42">
        <f>M976/10*12</f>
        <v>46.320000000000007</v>
      </c>
      <c r="M976" s="42">
        <v>38.6</v>
      </c>
      <c r="N976" s="42">
        <v>150</v>
      </c>
      <c r="O976" s="42">
        <f t="shared" ref="O976:O979" si="264">N976</f>
        <v>150</v>
      </c>
      <c r="P976" s="203">
        <f t="shared" ref="P976:P979" si="265">N976</f>
        <v>150</v>
      </c>
    </row>
    <row r="977" spans="1:16" ht="15" hidden="1" customHeight="1" outlineLevel="1" x14ac:dyDescent="0.25">
      <c r="A977" s="39" t="s">
        <v>11</v>
      </c>
      <c r="B977" s="46" t="s">
        <v>551</v>
      </c>
      <c r="C977" s="171"/>
      <c r="D977" s="47" t="s">
        <v>137</v>
      </c>
      <c r="E977" s="39" t="s">
        <v>17</v>
      </c>
      <c r="F977" s="39" t="s">
        <v>414</v>
      </c>
      <c r="G977" s="39" t="s">
        <v>322</v>
      </c>
      <c r="H977" s="42">
        <v>788.54</v>
      </c>
      <c r="I977" s="42">
        <v>576.47</v>
      </c>
      <c r="J977" s="42">
        <v>1000</v>
      </c>
      <c r="K977" s="42">
        <v>1000</v>
      </c>
      <c r="L977" s="42">
        <f>M977/9*12</f>
        <v>511.12</v>
      </c>
      <c r="M977" s="42">
        <v>383.34</v>
      </c>
      <c r="N977" s="42">
        <v>800</v>
      </c>
      <c r="O977" s="42">
        <f t="shared" si="264"/>
        <v>800</v>
      </c>
      <c r="P977" s="203">
        <f t="shared" si="265"/>
        <v>800</v>
      </c>
    </row>
    <row r="978" spans="1:16" ht="15" hidden="1" customHeight="1" outlineLevel="1" x14ac:dyDescent="0.25">
      <c r="A978" s="39" t="s">
        <v>11</v>
      </c>
      <c r="B978" s="46" t="s">
        <v>551</v>
      </c>
      <c r="C978" s="171"/>
      <c r="D978" s="47" t="s">
        <v>151</v>
      </c>
      <c r="E978" s="39" t="s">
        <v>17</v>
      </c>
      <c r="F978" s="39" t="s">
        <v>414</v>
      </c>
      <c r="G978" s="39" t="s">
        <v>152</v>
      </c>
      <c r="H978" s="42">
        <v>7559.81</v>
      </c>
      <c r="I978" s="42">
        <v>9057.14</v>
      </c>
      <c r="J978" s="42">
        <v>9360</v>
      </c>
      <c r="K978" s="42">
        <v>9360</v>
      </c>
      <c r="L978" s="42">
        <v>8126.87</v>
      </c>
      <c r="M978" s="42">
        <v>6596.87</v>
      </c>
      <c r="N978" s="42">
        <v>12342</v>
      </c>
      <c r="O978" s="42">
        <f t="shared" si="264"/>
        <v>12342</v>
      </c>
      <c r="P978" s="203">
        <f t="shared" si="265"/>
        <v>12342</v>
      </c>
    </row>
    <row r="979" spans="1:16" ht="15" hidden="1" customHeight="1" outlineLevel="1" x14ac:dyDescent="0.25">
      <c r="A979" s="39"/>
      <c r="B979" s="46"/>
      <c r="C979" s="171"/>
      <c r="D979" s="47" t="s">
        <v>155</v>
      </c>
      <c r="E979" s="39" t="s">
        <v>17</v>
      </c>
      <c r="F979" s="39" t="s">
        <v>414</v>
      </c>
      <c r="G979" s="39" t="s">
        <v>324</v>
      </c>
      <c r="H979" s="42">
        <v>1119.43</v>
      </c>
      <c r="I979" s="42">
        <v>1665.52</v>
      </c>
      <c r="J979" s="42">
        <v>2040</v>
      </c>
      <c r="K979" s="42">
        <v>2040</v>
      </c>
      <c r="L979" s="42">
        <v>1288.6300000000001</v>
      </c>
      <c r="M979" s="42">
        <v>1015.88</v>
      </c>
      <c r="N979" s="42">
        <v>1664</v>
      </c>
      <c r="O979" s="42">
        <f t="shared" si="264"/>
        <v>1664</v>
      </c>
      <c r="P979" s="203">
        <f t="shared" si="265"/>
        <v>1664</v>
      </c>
    </row>
    <row r="980" spans="1:16" ht="15" customHeight="1" collapsed="1" thickBot="1" x14ac:dyDescent="0.3">
      <c r="A980" s="39"/>
      <c r="B980" s="46"/>
      <c r="C980" s="171"/>
      <c r="D980" s="59" t="s">
        <v>478</v>
      </c>
      <c r="E980" s="45"/>
      <c r="F980" s="45"/>
      <c r="G980" s="45" t="s">
        <v>479</v>
      </c>
      <c r="H980" s="29">
        <f>SUM(H976:H979)</f>
        <v>9467.7800000000007</v>
      </c>
      <c r="I980" s="29">
        <f t="shared" ref="I980:P980" si="266">SUM(I976:I979)</f>
        <v>11500.13</v>
      </c>
      <c r="J980" s="29">
        <f t="shared" si="266"/>
        <v>12600</v>
      </c>
      <c r="K980" s="29">
        <f t="shared" si="266"/>
        <v>12600</v>
      </c>
      <c r="L980" s="29">
        <f t="shared" si="266"/>
        <v>9972.9399999999987</v>
      </c>
      <c r="M980" s="29">
        <f t="shared" si="266"/>
        <v>8034.69</v>
      </c>
      <c r="N980" s="29">
        <f t="shared" si="266"/>
        <v>14956</v>
      </c>
      <c r="O980" s="29">
        <f t="shared" si="266"/>
        <v>14956</v>
      </c>
      <c r="P980" s="217">
        <f t="shared" si="266"/>
        <v>14956</v>
      </c>
    </row>
    <row r="981" spans="1:16" ht="15" customHeight="1" thickBot="1" x14ac:dyDescent="0.3">
      <c r="A981" s="7" t="s">
        <v>11</v>
      </c>
      <c r="B981" s="77" t="s">
        <v>544</v>
      </c>
      <c r="C981" s="171"/>
      <c r="D981" s="69" t="s">
        <v>593</v>
      </c>
      <c r="E981" s="70"/>
      <c r="F981" s="70"/>
      <c r="G981" s="122" t="s">
        <v>682</v>
      </c>
      <c r="H981" s="73">
        <f>H962+H973+H975+H980</f>
        <v>138469.70000000001</v>
      </c>
      <c r="I981" s="73">
        <f t="shared" ref="I981:P981" si="267">I962+I973+I975+I980</f>
        <v>177864.68</v>
      </c>
      <c r="J981" s="73">
        <f t="shared" si="267"/>
        <v>222582</v>
      </c>
      <c r="K981" s="73">
        <f t="shared" si="267"/>
        <v>222582</v>
      </c>
      <c r="L981" s="73">
        <f t="shared" si="267"/>
        <v>188352.69850000003</v>
      </c>
      <c r="M981" s="73">
        <f t="shared" si="267"/>
        <v>149580.16999999998</v>
      </c>
      <c r="N981" s="73">
        <f t="shared" si="267"/>
        <v>231171</v>
      </c>
      <c r="O981" s="73">
        <f t="shared" si="267"/>
        <v>231171</v>
      </c>
      <c r="P981" s="123">
        <f t="shared" si="267"/>
        <v>231171</v>
      </c>
    </row>
    <row r="982" spans="1:16" ht="30" customHeight="1" thickBot="1" x14ac:dyDescent="0.3">
      <c r="A982" s="1" t="s">
        <v>11</v>
      </c>
      <c r="B982" s="13" t="s">
        <v>544</v>
      </c>
      <c r="C982" s="161" t="s">
        <v>679</v>
      </c>
      <c r="D982" s="162"/>
      <c r="E982" s="163"/>
      <c r="F982" s="164"/>
      <c r="G982" s="164" t="s">
        <v>680</v>
      </c>
      <c r="H982" s="164">
        <v>0</v>
      </c>
      <c r="I982" s="164">
        <f t="shared" ref="I982:P982" si="268">I983+I984+I985+I986+I987+I988+I989+I990+I991+I992+I993+I994+I995+I996+I997+I998+I999+I1000++I1001+I1002+I1003+I1004+I1005+I1006+I1007+I1008</f>
        <v>2121.5599999999995</v>
      </c>
      <c r="J982" s="164">
        <f t="shared" si="268"/>
        <v>0</v>
      </c>
      <c r="K982" s="164">
        <f t="shared" si="268"/>
        <v>0</v>
      </c>
      <c r="L982" s="164">
        <f t="shared" si="268"/>
        <v>0</v>
      </c>
      <c r="M982" s="164">
        <f t="shared" si="268"/>
        <v>0</v>
      </c>
      <c r="N982" s="164">
        <f t="shared" si="268"/>
        <v>0</v>
      </c>
      <c r="O982" s="164">
        <f t="shared" si="268"/>
        <v>0</v>
      </c>
      <c r="P982" s="165">
        <f t="shared" si="268"/>
        <v>0</v>
      </c>
    </row>
    <row r="983" spans="1:16" hidden="1" outlineLevel="1" collapsed="1" x14ac:dyDescent="0.25">
      <c r="A983" s="39" t="s">
        <v>11</v>
      </c>
      <c r="B983" s="46" t="s">
        <v>544</v>
      </c>
      <c r="C983" s="202" t="s">
        <v>415</v>
      </c>
      <c r="D983" s="39" t="s">
        <v>13</v>
      </c>
      <c r="E983" s="39" t="s">
        <v>213</v>
      </c>
      <c r="F983" s="39" t="s">
        <v>416</v>
      </c>
      <c r="G983" s="39" t="s">
        <v>417</v>
      </c>
      <c r="H983" s="42">
        <v>0</v>
      </c>
      <c r="I983" s="42">
        <v>892.05</v>
      </c>
      <c r="J983" s="42">
        <v>0</v>
      </c>
      <c r="K983" s="42">
        <v>0</v>
      </c>
      <c r="L983" s="42">
        <v>0</v>
      </c>
      <c r="M983" s="42">
        <v>0</v>
      </c>
      <c r="N983" s="42">
        <v>0</v>
      </c>
      <c r="O983" s="42">
        <f t="shared" ref="O983:O1008" si="269">N983</f>
        <v>0</v>
      </c>
      <c r="P983" s="203">
        <f t="shared" ref="P983:P1008" si="270">N983</f>
        <v>0</v>
      </c>
    </row>
    <row r="984" spans="1:16" hidden="1" outlineLevel="1" x14ac:dyDescent="0.25">
      <c r="A984" s="39" t="s">
        <v>11</v>
      </c>
      <c r="B984" s="46" t="s">
        <v>544</v>
      </c>
      <c r="C984" s="202" t="s">
        <v>415</v>
      </c>
      <c r="D984" s="39" t="s">
        <v>13</v>
      </c>
      <c r="E984" s="39" t="s">
        <v>217</v>
      </c>
      <c r="F984" s="39" t="s">
        <v>416</v>
      </c>
      <c r="G984" s="39" t="s">
        <v>417</v>
      </c>
      <c r="H984" s="42">
        <v>0</v>
      </c>
      <c r="I984" s="42">
        <v>684.56</v>
      </c>
      <c r="J984" s="42">
        <v>0</v>
      </c>
      <c r="K984" s="42">
        <v>0</v>
      </c>
      <c r="L984" s="42">
        <v>0</v>
      </c>
      <c r="M984" s="42">
        <v>0</v>
      </c>
      <c r="N984" s="42">
        <v>0</v>
      </c>
      <c r="O984" s="42">
        <f t="shared" si="269"/>
        <v>0</v>
      </c>
      <c r="P984" s="203">
        <f t="shared" si="270"/>
        <v>0</v>
      </c>
    </row>
    <row r="985" spans="1:16" hidden="1" outlineLevel="1" x14ac:dyDescent="0.25">
      <c r="A985" s="39" t="s">
        <v>11</v>
      </c>
      <c r="B985" s="46" t="s">
        <v>544</v>
      </c>
      <c r="C985" s="202" t="s">
        <v>415</v>
      </c>
      <c r="D985" s="39" t="s">
        <v>13</v>
      </c>
      <c r="E985" s="39" t="s">
        <v>17</v>
      </c>
      <c r="F985" s="39" t="s">
        <v>416</v>
      </c>
      <c r="G985" s="39" t="s">
        <v>417</v>
      </c>
      <c r="H985" s="42">
        <v>0</v>
      </c>
      <c r="I985" s="42">
        <v>82.97</v>
      </c>
      <c r="J985" s="42">
        <v>0</v>
      </c>
      <c r="K985" s="42">
        <v>0</v>
      </c>
      <c r="L985" s="42">
        <v>0</v>
      </c>
      <c r="M985" s="42">
        <v>0</v>
      </c>
      <c r="N985" s="42">
        <v>0</v>
      </c>
      <c r="O985" s="42">
        <f t="shared" si="269"/>
        <v>0</v>
      </c>
      <c r="P985" s="203">
        <f t="shared" si="270"/>
        <v>0</v>
      </c>
    </row>
    <row r="986" spans="1:16" hidden="1" outlineLevel="1" x14ac:dyDescent="0.25">
      <c r="A986" s="39" t="s">
        <v>11</v>
      </c>
      <c r="B986" s="46" t="s">
        <v>544</v>
      </c>
      <c r="C986" s="202" t="s">
        <v>415</v>
      </c>
      <c r="D986" s="39" t="s">
        <v>22</v>
      </c>
      <c r="E986" s="39" t="s">
        <v>213</v>
      </c>
      <c r="F986" s="39" t="s">
        <v>416</v>
      </c>
      <c r="G986" s="39" t="s">
        <v>417</v>
      </c>
      <c r="H986" s="42">
        <v>0</v>
      </c>
      <c r="I986" s="42">
        <v>56.61</v>
      </c>
      <c r="J986" s="42">
        <v>0</v>
      </c>
      <c r="K986" s="42">
        <v>0</v>
      </c>
      <c r="L986" s="42">
        <v>0</v>
      </c>
      <c r="M986" s="42">
        <v>0</v>
      </c>
      <c r="N986" s="42">
        <v>0</v>
      </c>
      <c r="O986" s="42">
        <f t="shared" si="269"/>
        <v>0</v>
      </c>
      <c r="P986" s="203">
        <f t="shared" si="270"/>
        <v>0</v>
      </c>
    </row>
    <row r="987" spans="1:16" hidden="1" outlineLevel="1" x14ac:dyDescent="0.25">
      <c r="A987" s="39" t="s">
        <v>11</v>
      </c>
      <c r="B987" s="46" t="s">
        <v>544</v>
      </c>
      <c r="C987" s="202" t="s">
        <v>415</v>
      </c>
      <c r="D987" s="39" t="s">
        <v>22</v>
      </c>
      <c r="E987" s="39" t="s">
        <v>217</v>
      </c>
      <c r="F987" s="39" t="s">
        <v>416</v>
      </c>
      <c r="G987" s="39" t="s">
        <v>417</v>
      </c>
      <c r="H987" s="42">
        <v>0</v>
      </c>
      <c r="I987" s="42">
        <v>43.44</v>
      </c>
      <c r="J987" s="42">
        <v>0</v>
      </c>
      <c r="K987" s="42">
        <v>0</v>
      </c>
      <c r="L987" s="42">
        <v>0</v>
      </c>
      <c r="M987" s="42">
        <v>0</v>
      </c>
      <c r="N987" s="42">
        <v>0</v>
      </c>
      <c r="O987" s="42">
        <f t="shared" si="269"/>
        <v>0</v>
      </c>
      <c r="P987" s="203">
        <f t="shared" si="270"/>
        <v>0</v>
      </c>
    </row>
    <row r="988" spans="1:16" hidden="1" outlineLevel="1" x14ac:dyDescent="0.25">
      <c r="A988" s="39" t="s">
        <v>11</v>
      </c>
      <c r="B988" s="46" t="s">
        <v>544</v>
      </c>
      <c r="C988" s="202" t="s">
        <v>415</v>
      </c>
      <c r="D988" s="39" t="s">
        <v>22</v>
      </c>
      <c r="E988" s="39" t="s">
        <v>17</v>
      </c>
      <c r="F988" s="39" t="s">
        <v>416</v>
      </c>
      <c r="G988" s="39" t="s">
        <v>417</v>
      </c>
      <c r="H988" s="42">
        <v>0</v>
      </c>
      <c r="I988" s="42">
        <v>5.27</v>
      </c>
      <c r="J988" s="42">
        <v>0</v>
      </c>
      <c r="K988" s="42">
        <v>0</v>
      </c>
      <c r="L988" s="42">
        <v>0</v>
      </c>
      <c r="M988" s="42">
        <v>0</v>
      </c>
      <c r="N988" s="42">
        <v>0</v>
      </c>
      <c r="O988" s="42">
        <f t="shared" si="269"/>
        <v>0</v>
      </c>
      <c r="P988" s="203">
        <f t="shared" si="270"/>
        <v>0</v>
      </c>
    </row>
    <row r="989" spans="1:16" hidden="1" outlineLevel="1" x14ac:dyDescent="0.25">
      <c r="A989" s="39" t="s">
        <v>11</v>
      </c>
      <c r="B989" s="46" t="s">
        <v>544</v>
      </c>
      <c r="C989" s="202" t="s">
        <v>415</v>
      </c>
      <c r="D989" s="39" t="s">
        <v>29</v>
      </c>
      <c r="E989" s="39" t="s">
        <v>213</v>
      </c>
      <c r="F989" s="39" t="s">
        <v>416</v>
      </c>
      <c r="G989" s="39" t="s">
        <v>418</v>
      </c>
      <c r="H989" s="42">
        <v>0</v>
      </c>
      <c r="I989" s="42">
        <v>10.199999999999999</v>
      </c>
      <c r="J989" s="42">
        <v>0</v>
      </c>
      <c r="K989" s="42">
        <v>0</v>
      </c>
      <c r="L989" s="42">
        <v>0</v>
      </c>
      <c r="M989" s="42">
        <v>0</v>
      </c>
      <c r="N989" s="42">
        <v>0</v>
      </c>
      <c r="O989" s="42">
        <f t="shared" si="269"/>
        <v>0</v>
      </c>
      <c r="P989" s="203">
        <f t="shared" si="270"/>
        <v>0</v>
      </c>
    </row>
    <row r="990" spans="1:16" hidden="1" outlineLevel="1" x14ac:dyDescent="0.25">
      <c r="A990" s="39" t="s">
        <v>11</v>
      </c>
      <c r="B990" s="46" t="s">
        <v>544</v>
      </c>
      <c r="C990" s="202" t="s">
        <v>415</v>
      </c>
      <c r="D990" s="39" t="s">
        <v>29</v>
      </c>
      <c r="E990" s="39" t="s">
        <v>217</v>
      </c>
      <c r="F990" s="39" t="s">
        <v>416</v>
      </c>
      <c r="G990" s="39" t="s">
        <v>419</v>
      </c>
      <c r="H990" s="42">
        <v>0</v>
      </c>
      <c r="I990" s="42">
        <v>7.82</v>
      </c>
      <c r="J990" s="42">
        <v>0</v>
      </c>
      <c r="K990" s="42">
        <v>0</v>
      </c>
      <c r="L990" s="42">
        <v>0</v>
      </c>
      <c r="M990" s="42">
        <v>0</v>
      </c>
      <c r="N990" s="42">
        <v>0</v>
      </c>
      <c r="O990" s="42">
        <f t="shared" si="269"/>
        <v>0</v>
      </c>
      <c r="P990" s="203">
        <f t="shared" si="270"/>
        <v>0</v>
      </c>
    </row>
    <row r="991" spans="1:16" hidden="1" outlineLevel="1" x14ac:dyDescent="0.25">
      <c r="A991" s="39" t="s">
        <v>11</v>
      </c>
      <c r="B991" s="46" t="s">
        <v>544</v>
      </c>
      <c r="C991" s="202" t="s">
        <v>415</v>
      </c>
      <c r="D991" s="39" t="s">
        <v>29</v>
      </c>
      <c r="E991" s="39" t="s">
        <v>17</v>
      </c>
      <c r="F991" s="39" t="s">
        <v>416</v>
      </c>
      <c r="G991" s="39" t="s">
        <v>419</v>
      </c>
      <c r="H991" s="42">
        <v>0</v>
      </c>
      <c r="I991" s="42">
        <v>0.95</v>
      </c>
      <c r="J991" s="42">
        <v>0</v>
      </c>
      <c r="K991" s="42">
        <v>0</v>
      </c>
      <c r="L991" s="42">
        <v>0</v>
      </c>
      <c r="M991" s="42">
        <v>0</v>
      </c>
      <c r="N991" s="42">
        <v>0</v>
      </c>
      <c r="O991" s="42">
        <f t="shared" si="269"/>
        <v>0</v>
      </c>
      <c r="P991" s="203">
        <f t="shared" si="270"/>
        <v>0</v>
      </c>
    </row>
    <row r="992" spans="1:16" hidden="1" outlineLevel="1" x14ac:dyDescent="0.25">
      <c r="A992" s="39" t="s">
        <v>11</v>
      </c>
      <c r="B992" s="46" t="s">
        <v>544</v>
      </c>
      <c r="C992" s="202" t="s">
        <v>415</v>
      </c>
      <c r="D992" s="39" t="s">
        <v>32</v>
      </c>
      <c r="E992" s="39" t="s">
        <v>213</v>
      </c>
      <c r="F992" s="39" t="s">
        <v>416</v>
      </c>
      <c r="G992" s="39" t="s">
        <v>420</v>
      </c>
      <c r="H992" s="42">
        <v>0</v>
      </c>
      <c r="I992" s="42">
        <v>102.06</v>
      </c>
      <c r="J992" s="42">
        <v>0</v>
      </c>
      <c r="K992" s="42">
        <v>0</v>
      </c>
      <c r="L992" s="42">
        <v>0</v>
      </c>
      <c r="M992" s="42">
        <v>0</v>
      </c>
      <c r="N992" s="42">
        <v>0</v>
      </c>
      <c r="O992" s="42">
        <f t="shared" si="269"/>
        <v>0</v>
      </c>
      <c r="P992" s="203">
        <f t="shared" si="270"/>
        <v>0</v>
      </c>
    </row>
    <row r="993" spans="1:16" hidden="1" outlineLevel="1" x14ac:dyDescent="0.25">
      <c r="A993" s="39" t="s">
        <v>11</v>
      </c>
      <c r="B993" s="46" t="s">
        <v>544</v>
      </c>
      <c r="C993" s="202" t="s">
        <v>415</v>
      </c>
      <c r="D993" s="39" t="s">
        <v>32</v>
      </c>
      <c r="E993" s="39" t="s">
        <v>217</v>
      </c>
      <c r="F993" s="39" t="s">
        <v>416</v>
      </c>
      <c r="G993" s="39" t="s">
        <v>421</v>
      </c>
      <c r="H993" s="42">
        <v>0</v>
      </c>
      <c r="I993" s="42">
        <v>78.31</v>
      </c>
      <c r="J993" s="42">
        <v>0</v>
      </c>
      <c r="K993" s="42">
        <v>0</v>
      </c>
      <c r="L993" s="42">
        <v>0</v>
      </c>
      <c r="M993" s="42">
        <v>0</v>
      </c>
      <c r="N993" s="42">
        <v>0</v>
      </c>
      <c r="O993" s="42">
        <f t="shared" si="269"/>
        <v>0</v>
      </c>
      <c r="P993" s="203">
        <f t="shared" si="270"/>
        <v>0</v>
      </c>
    </row>
    <row r="994" spans="1:16" hidden="1" outlineLevel="1" x14ac:dyDescent="0.25">
      <c r="A994" s="39" t="s">
        <v>11</v>
      </c>
      <c r="B994" s="46" t="s">
        <v>544</v>
      </c>
      <c r="C994" s="202" t="s">
        <v>415</v>
      </c>
      <c r="D994" s="39" t="s">
        <v>32</v>
      </c>
      <c r="E994" s="39" t="s">
        <v>17</v>
      </c>
      <c r="F994" s="39" t="s">
        <v>416</v>
      </c>
      <c r="G994" s="39" t="s">
        <v>421</v>
      </c>
      <c r="H994" s="42">
        <v>0</v>
      </c>
      <c r="I994" s="42">
        <v>9.5</v>
      </c>
      <c r="J994" s="42">
        <v>0</v>
      </c>
      <c r="K994" s="42">
        <v>0</v>
      </c>
      <c r="L994" s="42">
        <v>0</v>
      </c>
      <c r="M994" s="42">
        <v>0</v>
      </c>
      <c r="N994" s="42">
        <v>0</v>
      </c>
      <c r="O994" s="42">
        <f t="shared" si="269"/>
        <v>0</v>
      </c>
      <c r="P994" s="203">
        <f t="shared" si="270"/>
        <v>0</v>
      </c>
    </row>
    <row r="995" spans="1:16" hidden="1" outlineLevel="1" x14ac:dyDescent="0.25">
      <c r="A995" s="39" t="s">
        <v>11</v>
      </c>
      <c r="B995" s="46" t="s">
        <v>544</v>
      </c>
      <c r="C995" s="202" t="s">
        <v>415</v>
      </c>
      <c r="D995" s="39" t="s">
        <v>36</v>
      </c>
      <c r="E995" s="39" t="s">
        <v>213</v>
      </c>
      <c r="F995" s="39" t="s">
        <v>416</v>
      </c>
      <c r="G995" s="39" t="s">
        <v>422</v>
      </c>
      <c r="H995" s="42">
        <v>0</v>
      </c>
      <c r="I995" s="42">
        <v>5.82</v>
      </c>
      <c r="J995" s="42">
        <v>0</v>
      </c>
      <c r="K995" s="42">
        <v>0</v>
      </c>
      <c r="L995" s="42">
        <v>0</v>
      </c>
      <c r="M995" s="42">
        <v>0</v>
      </c>
      <c r="N995" s="42">
        <v>0</v>
      </c>
      <c r="O995" s="42">
        <f t="shared" si="269"/>
        <v>0</v>
      </c>
      <c r="P995" s="203">
        <f t="shared" si="270"/>
        <v>0</v>
      </c>
    </row>
    <row r="996" spans="1:16" hidden="1" outlineLevel="1" x14ac:dyDescent="0.25">
      <c r="A996" s="39" t="s">
        <v>11</v>
      </c>
      <c r="B996" s="46" t="s">
        <v>544</v>
      </c>
      <c r="C996" s="202" t="s">
        <v>415</v>
      </c>
      <c r="D996" s="39" t="s">
        <v>36</v>
      </c>
      <c r="E996" s="39" t="s">
        <v>217</v>
      </c>
      <c r="F996" s="39" t="s">
        <v>416</v>
      </c>
      <c r="G996" s="39" t="s">
        <v>423</v>
      </c>
      <c r="H996" s="42">
        <v>0</v>
      </c>
      <c r="I996" s="42">
        <v>4.47</v>
      </c>
      <c r="J996" s="42">
        <v>0</v>
      </c>
      <c r="K996" s="42">
        <v>0</v>
      </c>
      <c r="L996" s="42">
        <v>0</v>
      </c>
      <c r="M996" s="42">
        <v>0</v>
      </c>
      <c r="N996" s="42">
        <v>0</v>
      </c>
      <c r="O996" s="42">
        <f t="shared" si="269"/>
        <v>0</v>
      </c>
      <c r="P996" s="203">
        <f t="shared" si="270"/>
        <v>0</v>
      </c>
    </row>
    <row r="997" spans="1:16" hidden="1" outlineLevel="1" x14ac:dyDescent="0.25">
      <c r="A997" s="39" t="s">
        <v>11</v>
      </c>
      <c r="B997" s="46" t="s">
        <v>544</v>
      </c>
      <c r="C997" s="202" t="s">
        <v>415</v>
      </c>
      <c r="D997" s="39" t="s">
        <v>36</v>
      </c>
      <c r="E997" s="39" t="s">
        <v>17</v>
      </c>
      <c r="F997" s="39" t="s">
        <v>416</v>
      </c>
      <c r="G997" s="39" t="s">
        <v>423</v>
      </c>
      <c r="H997" s="42">
        <v>0</v>
      </c>
      <c r="I997" s="42">
        <v>0.54</v>
      </c>
      <c r="J997" s="42">
        <v>0</v>
      </c>
      <c r="K997" s="42">
        <v>0</v>
      </c>
      <c r="L997" s="42">
        <v>0</v>
      </c>
      <c r="M997" s="42">
        <v>0</v>
      </c>
      <c r="N997" s="42">
        <v>0</v>
      </c>
      <c r="O997" s="42">
        <f t="shared" si="269"/>
        <v>0</v>
      </c>
      <c r="P997" s="203">
        <f t="shared" si="270"/>
        <v>0</v>
      </c>
    </row>
    <row r="998" spans="1:16" hidden="1" outlineLevel="1" x14ac:dyDescent="0.25">
      <c r="A998" s="39" t="s">
        <v>11</v>
      </c>
      <c r="B998" s="46" t="s">
        <v>544</v>
      </c>
      <c r="C998" s="202" t="s">
        <v>415</v>
      </c>
      <c r="D998" s="39" t="s">
        <v>40</v>
      </c>
      <c r="E998" s="39" t="s">
        <v>213</v>
      </c>
      <c r="F998" s="39" t="s">
        <v>416</v>
      </c>
      <c r="G998" s="39" t="s">
        <v>424</v>
      </c>
      <c r="H998" s="42">
        <v>0</v>
      </c>
      <c r="I998" s="42">
        <v>21.86</v>
      </c>
      <c r="J998" s="42">
        <v>0</v>
      </c>
      <c r="K998" s="42">
        <v>0</v>
      </c>
      <c r="L998" s="42">
        <v>0</v>
      </c>
      <c r="M998" s="42">
        <v>0</v>
      </c>
      <c r="N998" s="42">
        <v>0</v>
      </c>
      <c r="O998" s="42">
        <f t="shared" si="269"/>
        <v>0</v>
      </c>
      <c r="P998" s="203">
        <f t="shared" si="270"/>
        <v>0</v>
      </c>
    </row>
    <row r="999" spans="1:16" hidden="1" outlineLevel="1" x14ac:dyDescent="0.25">
      <c r="A999" s="39" t="s">
        <v>11</v>
      </c>
      <c r="B999" s="46" t="s">
        <v>544</v>
      </c>
      <c r="C999" s="202" t="s">
        <v>415</v>
      </c>
      <c r="D999" s="39" t="s">
        <v>40</v>
      </c>
      <c r="E999" s="39" t="s">
        <v>217</v>
      </c>
      <c r="F999" s="39" t="s">
        <v>416</v>
      </c>
      <c r="G999" s="39" t="s">
        <v>424</v>
      </c>
      <c r="H999" s="42">
        <v>0</v>
      </c>
      <c r="I999" s="42">
        <v>16.760000000000002</v>
      </c>
      <c r="J999" s="42">
        <v>0</v>
      </c>
      <c r="K999" s="42">
        <v>0</v>
      </c>
      <c r="L999" s="42">
        <v>0</v>
      </c>
      <c r="M999" s="42">
        <v>0</v>
      </c>
      <c r="N999" s="42">
        <v>0</v>
      </c>
      <c r="O999" s="42">
        <f t="shared" si="269"/>
        <v>0</v>
      </c>
      <c r="P999" s="203">
        <f t="shared" si="270"/>
        <v>0</v>
      </c>
    </row>
    <row r="1000" spans="1:16" hidden="1" outlineLevel="1" x14ac:dyDescent="0.25">
      <c r="A1000" s="39" t="s">
        <v>11</v>
      </c>
      <c r="B1000" s="46" t="s">
        <v>544</v>
      </c>
      <c r="C1000" s="202" t="s">
        <v>415</v>
      </c>
      <c r="D1000" s="39" t="s">
        <v>40</v>
      </c>
      <c r="E1000" s="39" t="s">
        <v>17</v>
      </c>
      <c r="F1000" s="39" t="s">
        <v>416</v>
      </c>
      <c r="G1000" s="39" t="s">
        <v>424</v>
      </c>
      <c r="H1000" s="42">
        <v>0</v>
      </c>
      <c r="I1000" s="42">
        <v>2.0299999999999998</v>
      </c>
      <c r="J1000" s="42">
        <v>0</v>
      </c>
      <c r="K1000" s="42">
        <v>0</v>
      </c>
      <c r="L1000" s="42">
        <v>0</v>
      </c>
      <c r="M1000" s="42">
        <v>0</v>
      </c>
      <c r="N1000" s="42">
        <v>0</v>
      </c>
      <c r="O1000" s="42">
        <f t="shared" si="269"/>
        <v>0</v>
      </c>
      <c r="P1000" s="203">
        <f t="shared" si="270"/>
        <v>0</v>
      </c>
    </row>
    <row r="1001" spans="1:16" hidden="1" outlineLevel="1" x14ac:dyDescent="0.25">
      <c r="A1001" s="39" t="s">
        <v>11</v>
      </c>
      <c r="B1001" s="46" t="s">
        <v>544</v>
      </c>
      <c r="C1001" s="202" t="s">
        <v>415</v>
      </c>
      <c r="D1001" s="39" t="s">
        <v>44</v>
      </c>
      <c r="E1001" s="39" t="s">
        <v>213</v>
      </c>
      <c r="F1001" s="39" t="s">
        <v>416</v>
      </c>
      <c r="G1001" s="39" t="s">
        <v>425</v>
      </c>
      <c r="H1001" s="42">
        <v>0</v>
      </c>
      <c r="I1001" s="42">
        <v>7.27</v>
      </c>
      <c r="J1001" s="42">
        <v>0</v>
      </c>
      <c r="K1001" s="42">
        <v>0</v>
      </c>
      <c r="L1001" s="42">
        <v>0</v>
      </c>
      <c r="M1001" s="42">
        <v>0</v>
      </c>
      <c r="N1001" s="42">
        <v>0</v>
      </c>
      <c r="O1001" s="42">
        <f t="shared" si="269"/>
        <v>0</v>
      </c>
      <c r="P1001" s="203">
        <f t="shared" si="270"/>
        <v>0</v>
      </c>
    </row>
    <row r="1002" spans="1:16" hidden="1" outlineLevel="1" x14ac:dyDescent="0.25">
      <c r="A1002" s="39" t="s">
        <v>11</v>
      </c>
      <c r="B1002" s="46" t="s">
        <v>544</v>
      </c>
      <c r="C1002" s="202" t="s">
        <v>415</v>
      </c>
      <c r="D1002" s="39" t="s">
        <v>44</v>
      </c>
      <c r="E1002" s="39" t="s">
        <v>217</v>
      </c>
      <c r="F1002" s="39" t="s">
        <v>416</v>
      </c>
      <c r="G1002" s="39" t="s">
        <v>425</v>
      </c>
      <c r="H1002" s="42">
        <v>0</v>
      </c>
      <c r="I1002" s="42">
        <v>5.58</v>
      </c>
      <c r="J1002" s="42">
        <v>0</v>
      </c>
      <c r="K1002" s="42">
        <v>0</v>
      </c>
      <c r="L1002" s="42">
        <v>0</v>
      </c>
      <c r="M1002" s="42">
        <v>0</v>
      </c>
      <c r="N1002" s="42">
        <v>0</v>
      </c>
      <c r="O1002" s="42">
        <f t="shared" si="269"/>
        <v>0</v>
      </c>
      <c r="P1002" s="203">
        <f t="shared" si="270"/>
        <v>0</v>
      </c>
    </row>
    <row r="1003" spans="1:16" hidden="1" outlineLevel="1" x14ac:dyDescent="0.25">
      <c r="A1003" s="39" t="s">
        <v>11</v>
      </c>
      <c r="B1003" s="46" t="s">
        <v>544</v>
      </c>
      <c r="C1003" s="202" t="s">
        <v>415</v>
      </c>
      <c r="D1003" s="39" t="s">
        <v>44</v>
      </c>
      <c r="E1003" s="39" t="s">
        <v>17</v>
      </c>
      <c r="F1003" s="39" t="s">
        <v>416</v>
      </c>
      <c r="G1003" s="39" t="s">
        <v>425</v>
      </c>
      <c r="H1003" s="42">
        <v>0</v>
      </c>
      <c r="I1003" s="42">
        <v>0.68</v>
      </c>
      <c r="J1003" s="42">
        <v>0</v>
      </c>
      <c r="K1003" s="42">
        <v>0</v>
      </c>
      <c r="L1003" s="42">
        <v>0</v>
      </c>
      <c r="M1003" s="42">
        <v>0</v>
      </c>
      <c r="N1003" s="42">
        <v>0</v>
      </c>
      <c r="O1003" s="42">
        <f t="shared" si="269"/>
        <v>0</v>
      </c>
      <c r="P1003" s="203">
        <f t="shared" si="270"/>
        <v>0</v>
      </c>
    </row>
    <row r="1004" spans="1:16" hidden="1" outlineLevel="1" x14ac:dyDescent="0.25">
      <c r="A1004" s="39" t="s">
        <v>11</v>
      </c>
      <c r="B1004" s="46" t="s">
        <v>544</v>
      </c>
      <c r="C1004" s="202" t="s">
        <v>415</v>
      </c>
      <c r="D1004" s="39" t="s">
        <v>48</v>
      </c>
      <c r="E1004" s="39" t="s">
        <v>213</v>
      </c>
      <c r="F1004" s="39" t="s">
        <v>416</v>
      </c>
      <c r="G1004" s="39" t="s">
        <v>426</v>
      </c>
      <c r="H1004" s="42">
        <v>0</v>
      </c>
      <c r="I1004" s="42">
        <v>34.61</v>
      </c>
      <c r="J1004" s="42">
        <v>0</v>
      </c>
      <c r="K1004" s="42">
        <v>0</v>
      </c>
      <c r="L1004" s="42">
        <v>0</v>
      </c>
      <c r="M1004" s="42">
        <v>0</v>
      </c>
      <c r="N1004" s="42">
        <v>0</v>
      </c>
      <c r="O1004" s="42">
        <f t="shared" si="269"/>
        <v>0</v>
      </c>
      <c r="P1004" s="203">
        <f t="shared" si="270"/>
        <v>0</v>
      </c>
    </row>
    <row r="1005" spans="1:16" hidden="1" outlineLevel="1" x14ac:dyDescent="0.25">
      <c r="A1005" s="39" t="s">
        <v>11</v>
      </c>
      <c r="B1005" s="46" t="s">
        <v>544</v>
      </c>
      <c r="C1005" s="202" t="s">
        <v>415</v>
      </c>
      <c r="D1005" s="39" t="s">
        <v>48</v>
      </c>
      <c r="E1005" s="39" t="s">
        <v>217</v>
      </c>
      <c r="F1005" s="39" t="s">
        <v>416</v>
      </c>
      <c r="G1005" s="39" t="s">
        <v>427</v>
      </c>
      <c r="H1005" s="42">
        <v>0</v>
      </c>
      <c r="I1005" s="42">
        <v>26.56</v>
      </c>
      <c r="J1005" s="42">
        <v>0</v>
      </c>
      <c r="K1005" s="42">
        <v>0</v>
      </c>
      <c r="L1005" s="42">
        <v>0</v>
      </c>
      <c r="M1005" s="42">
        <v>0</v>
      </c>
      <c r="N1005" s="42">
        <v>0</v>
      </c>
      <c r="O1005" s="42">
        <f t="shared" si="269"/>
        <v>0</v>
      </c>
      <c r="P1005" s="203">
        <f t="shared" si="270"/>
        <v>0</v>
      </c>
    </row>
    <row r="1006" spans="1:16" hidden="1" outlineLevel="1" x14ac:dyDescent="0.25">
      <c r="A1006" s="39" t="s">
        <v>11</v>
      </c>
      <c r="B1006" s="46" t="s">
        <v>544</v>
      </c>
      <c r="C1006" s="202" t="s">
        <v>415</v>
      </c>
      <c r="D1006" s="39" t="s">
        <v>48</v>
      </c>
      <c r="E1006" s="39" t="s">
        <v>17</v>
      </c>
      <c r="F1006" s="39" t="s">
        <v>416</v>
      </c>
      <c r="G1006" s="39" t="s">
        <v>427</v>
      </c>
      <c r="H1006" s="42">
        <v>0</v>
      </c>
      <c r="I1006" s="42">
        <v>3.22</v>
      </c>
      <c r="J1006" s="42">
        <v>0</v>
      </c>
      <c r="K1006" s="42">
        <v>0</v>
      </c>
      <c r="L1006" s="42">
        <v>0</v>
      </c>
      <c r="M1006" s="42">
        <v>0</v>
      </c>
      <c r="N1006" s="42">
        <v>0</v>
      </c>
      <c r="O1006" s="42">
        <f t="shared" si="269"/>
        <v>0</v>
      </c>
      <c r="P1006" s="203">
        <f t="shared" si="270"/>
        <v>0</v>
      </c>
    </row>
    <row r="1007" spans="1:16" hidden="1" outlineLevel="1" x14ac:dyDescent="0.25">
      <c r="A1007" s="7" t="s">
        <v>11</v>
      </c>
      <c r="B1007" s="77" t="s">
        <v>541</v>
      </c>
      <c r="C1007" s="202" t="s">
        <v>415</v>
      </c>
      <c r="D1007" s="39" t="s">
        <v>155</v>
      </c>
      <c r="E1007" s="39" t="s">
        <v>17</v>
      </c>
      <c r="F1007" s="39" t="s">
        <v>416</v>
      </c>
      <c r="G1007" s="39" t="s">
        <v>156</v>
      </c>
      <c r="H1007" s="42">
        <v>0</v>
      </c>
      <c r="I1007" s="42">
        <v>18.420000000000002</v>
      </c>
      <c r="J1007" s="42">
        <v>0</v>
      </c>
      <c r="K1007" s="42">
        <v>0</v>
      </c>
      <c r="L1007" s="42">
        <v>0</v>
      </c>
      <c r="M1007" s="42">
        <v>0</v>
      </c>
      <c r="N1007" s="42">
        <v>0</v>
      </c>
      <c r="O1007" s="42">
        <f t="shared" si="269"/>
        <v>0</v>
      </c>
      <c r="P1007" s="203">
        <f t="shared" si="270"/>
        <v>0</v>
      </c>
    </row>
    <row r="1008" spans="1:16" ht="15.75" hidden="1" outlineLevel="1" thickBot="1" x14ac:dyDescent="0.3">
      <c r="C1008" s="227" t="s">
        <v>415</v>
      </c>
      <c r="D1008" s="7" t="s">
        <v>446</v>
      </c>
      <c r="E1008" s="7" t="s">
        <v>17</v>
      </c>
      <c r="F1008" s="7" t="s">
        <v>455</v>
      </c>
      <c r="G1008" s="7" t="s">
        <v>456</v>
      </c>
      <c r="H1008" s="8">
        <v>2931.84</v>
      </c>
      <c r="I1008" s="8">
        <v>0</v>
      </c>
      <c r="J1008" s="8">
        <v>0</v>
      </c>
      <c r="K1008" s="8">
        <v>0</v>
      </c>
      <c r="L1008" s="8">
        <v>0</v>
      </c>
      <c r="M1008" s="8">
        <v>0</v>
      </c>
      <c r="N1008" s="8">
        <v>0</v>
      </c>
      <c r="O1008" s="8">
        <f t="shared" si="269"/>
        <v>0</v>
      </c>
      <c r="P1008" s="216">
        <f t="shared" si="270"/>
        <v>0</v>
      </c>
    </row>
    <row r="1009" spans="1:16" ht="30.75" collapsed="1" thickBot="1" x14ac:dyDescent="0.3">
      <c r="A1009" s="1" t="s">
        <v>11</v>
      </c>
      <c r="B1009" s="13" t="s">
        <v>541</v>
      </c>
      <c r="C1009" s="161" t="s">
        <v>484</v>
      </c>
      <c r="D1009" s="162"/>
      <c r="E1009" s="163"/>
      <c r="F1009" s="164"/>
      <c r="G1009" s="164" t="s">
        <v>683</v>
      </c>
      <c r="H1009" s="164">
        <f>H1010+H1047+H1058+H1100+H1101+H1102+H1103</f>
        <v>251469.44999999998</v>
      </c>
      <c r="I1009" s="164">
        <f t="shared" ref="I1009:P1009" si="271">I1010+I1047+I1058+I1100+I1101+I1102+I1103</f>
        <v>256451.03</v>
      </c>
      <c r="J1009" s="164">
        <f t="shared" si="271"/>
        <v>215875</v>
      </c>
      <c r="K1009" s="164">
        <f t="shared" si="271"/>
        <v>215875</v>
      </c>
      <c r="L1009" s="164">
        <f t="shared" si="271"/>
        <v>133323.21899999998</v>
      </c>
      <c r="M1009" s="164">
        <f t="shared" si="271"/>
        <v>120591.78000000001</v>
      </c>
      <c r="N1009" s="164">
        <f>N1010+N1047+N1058+N1100+N1101+N1102+N1103</f>
        <v>189396</v>
      </c>
      <c r="O1009" s="164">
        <f t="shared" si="271"/>
        <v>187881</v>
      </c>
      <c r="P1009" s="165">
        <f t="shared" si="271"/>
        <v>187881</v>
      </c>
    </row>
    <row r="1010" spans="1:16" ht="15.75" thickBot="1" x14ac:dyDescent="0.3">
      <c r="A1010" s="39" t="s">
        <v>11</v>
      </c>
      <c r="B1010" s="46" t="s">
        <v>546</v>
      </c>
      <c r="C1010" s="245"/>
      <c r="D1010" s="112" t="s">
        <v>593</v>
      </c>
      <c r="E1010" s="61" t="s">
        <v>17</v>
      </c>
      <c r="F1010" s="61" t="s">
        <v>442</v>
      </c>
      <c r="G1010" s="61" t="s">
        <v>443</v>
      </c>
      <c r="H1010" s="62">
        <v>1700</v>
      </c>
      <c r="I1010" s="62">
        <v>2997.68</v>
      </c>
      <c r="J1010" s="62">
        <v>1700</v>
      </c>
      <c r="K1010" s="62">
        <v>1700</v>
      </c>
      <c r="L1010" s="62">
        <v>1700</v>
      </c>
      <c r="M1010" s="62">
        <v>472.8</v>
      </c>
      <c r="N1010" s="62">
        <v>500</v>
      </c>
      <c r="O1010" s="62">
        <f t="shared" ref="O1010:O1074" si="272">N1010</f>
        <v>500</v>
      </c>
      <c r="P1010" s="63">
        <f t="shared" ref="P1010:P1074" si="273">N1010</f>
        <v>500</v>
      </c>
    </row>
    <row r="1011" spans="1:16" hidden="1" outlineLevel="1" x14ac:dyDescent="0.25">
      <c r="A1011" s="39" t="s">
        <v>11</v>
      </c>
      <c r="B1011" s="46" t="s">
        <v>546</v>
      </c>
      <c r="C1011" s="246"/>
      <c r="D1011" s="58" t="s">
        <v>13</v>
      </c>
      <c r="E1011" s="40" t="s">
        <v>213</v>
      </c>
      <c r="F1011" s="126">
        <v>36</v>
      </c>
      <c r="G1011" s="40" t="s">
        <v>16</v>
      </c>
      <c r="H1011" s="41">
        <f>21071.08+4409.16</f>
        <v>25480.240000000002</v>
      </c>
      <c r="I1011" s="41">
        <v>23767.11</v>
      </c>
      <c r="J1011" s="41">
        <v>17981</v>
      </c>
      <c r="K1011" s="41">
        <v>18176.54</v>
      </c>
      <c r="L1011" s="41">
        <f t="shared" ref="L1011:L1046" si="274">M1011</f>
        <v>16175.87</v>
      </c>
      <c r="M1011" s="41">
        <v>16175.87</v>
      </c>
      <c r="N1011" s="41">
        <v>43200</v>
      </c>
      <c r="O1011" s="41">
        <f t="shared" si="272"/>
        <v>43200</v>
      </c>
      <c r="P1011" s="201">
        <f t="shared" si="273"/>
        <v>43200</v>
      </c>
    </row>
    <row r="1012" spans="1:16" hidden="1" outlineLevel="1" x14ac:dyDescent="0.25">
      <c r="A1012" s="39" t="s">
        <v>11</v>
      </c>
      <c r="B1012" s="46" t="s">
        <v>546</v>
      </c>
      <c r="C1012" s="246"/>
      <c r="D1012" s="47" t="s">
        <v>13</v>
      </c>
      <c r="E1012" s="39" t="s">
        <v>217</v>
      </c>
      <c r="F1012" s="127">
        <v>36</v>
      </c>
      <c r="G1012" s="39" t="s">
        <v>16</v>
      </c>
      <c r="H1012" s="42">
        <f>3821.1+778.06</f>
        <v>4599.16</v>
      </c>
      <c r="I1012" s="42">
        <v>4345.47</v>
      </c>
      <c r="J1012" s="42">
        <v>3173</v>
      </c>
      <c r="K1012" s="42">
        <v>3240.01</v>
      </c>
      <c r="L1012" s="42">
        <f t="shared" si="274"/>
        <v>3741.14</v>
      </c>
      <c r="M1012" s="42">
        <v>3741.14</v>
      </c>
      <c r="N1012" s="42">
        <v>0</v>
      </c>
      <c r="O1012" s="42">
        <f t="shared" si="272"/>
        <v>0</v>
      </c>
      <c r="P1012" s="203">
        <f t="shared" si="273"/>
        <v>0</v>
      </c>
    </row>
    <row r="1013" spans="1:16" hidden="1" outlineLevel="1" x14ac:dyDescent="0.25">
      <c r="A1013" s="39" t="s">
        <v>11</v>
      </c>
      <c r="B1013" s="46" t="s">
        <v>546</v>
      </c>
      <c r="C1013" s="246"/>
      <c r="D1013" s="47" t="s">
        <v>13</v>
      </c>
      <c r="E1013" s="39" t="s">
        <v>17</v>
      </c>
      <c r="F1013" s="127">
        <v>36</v>
      </c>
      <c r="G1013" s="39" t="s">
        <v>16</v>
      </c>
      <c r="H1013" s="42">
        <v>673.38</v>
      </c>
      <c r="I1013" s="42">
        <f>3513.27+468.72</f>
        <v>3981.99</v>
      </c>
      <c r="J1013" s="42">
        <v>0</v>
      </c>
      <c r="K1013" s="42">
        <v>0</v>
      </c>
      <c r="L1013" s="42">
        <f t="shared" si="274"/>
        <v>0</v>
      </c>
      <c r="M1013" s="42">
        <v>0</v>
      </c>
      <c r="N1013" s="42">
        <v>0</v>
      </c>
      <c r="O1013" s="42">
        <f t="shared" si="272"/>
        <v>0</v>
      </c>
      <c r="P1013" s="203">
        <f t="shared" si="273"/>
        <v>0</v>
      </c>
    </row>
    <row r="1014" spans="1:16" ht="15" hidden="1" customHeight="1" outlineLevel="1" x14ac:dyDescent="0.25">
      <c r="A1014" s="39" t="s">
        <v>11</v>
      </c>
      <c r="B1014" s="46" t="s">
        <v>546</v>
      </c>
      <c r="C1014" s="246"/>
      <c r="D1014" s="47" t="s">
        <v>22</v>
      </c>
      <c r="E1014" s="39" t="s">
        <v>213</v>
      </c>
      <c r="F1014" s="127">
        <v>36</v>
      </c>
      <c r="G1014" s="39" t="s">
        <v>23</v>
      </c>
      <c r="H1014" s="42">
        <f>1260.56+217.82</f>
        <v>1478.3799999999999</v>
      </c>
      <c r="I1014" s="42">
        <v>2024.59</v>
      </c>
      <c r="J1014" s="42">
        <v>900</v>
      </c>
      <c r="K1014" s="42">
        <v>1314.37</v>
      </c>
      <c r="L1014" s="42">
        <f t="shared" si="274"/>
        <v>1229.71</v>
      </c>
      <c r="M1014" s="42">
        <v>1229.71</v>
      </c>
      <c r="N1014" s="42">
        <v>4320</v>
      </c>
      <c r="O1014" s="42">
        <f t="shared" si="272"/>
        <v>4320</v>
      </c>
      <c r="P1014" s="203">
        <f t="shared" si="273"/>
        <v>4320</v>
      </c>
    </row>
    <row r="1015" spans="1:16" ht="15" hidden="1" customHeight="1" outlineLevel="1" x14ac:dyDescent="0.25">
      <c r="A1015" s="39" t="s">
        <v>11</v>
      </c>
      <c r="B1015" s="46" t="s">
        <v>546</v>
      </c>
      <c r="C1015" s="246"/>
      <c r="D1015" s="47" t="s">
        <v>22</v>
      </c>
      <c r="E1015" s="39" t="s">
        <v>217</v>
      </c>
      <c r="F1015" s="127">
        <v>36</v>
      </c>
      <c r="G1015" s="39" t="s">
        <v>23</v>
      </c>
      <c r="H1015" s="42">
        <f>222.42+38.44</f>
        <v>260.86</v>
      </c>
      <c r="I1015" s="42">
        <v>326.07</v>
      </c>
      <c r="J1015" s="42">
        <v>159</v>
      </c>
      <c r="K1015" s="42">
        <v>231.96</v>
      </c>
      <c r="L1015" s="42">
        <f t="shared" si="274"/>
        <v>305.08</v>
      </c>
      <c r="M1015" s="42">
        <v>305.08</v>
      </c>
      <c r="N1015" s="42">
        <v>0</v>
      </c>
      <c r="O1015" s="42">
        <f t="shared" si="272"/>
        <v>0</v>
      </c>
      <c r="P1015" s="203">
        <f t="shared" si="273"/>
        <v>0</v>
      </c>
    </row>
    <row r="1016" spans="1:16" ht="15" hidden="1" customHeight="1" outlineLevel="1" x14ac:dyDescent="0.25">
      <c r="A1016" s="39" t="s">
        <v>11</v>
      </c>
      <c r="B1016" s="46" t="s">
        <v>546</v>
      </c>
      <c r="C1016" s="246"/>
      <c r="D1016" s="47" t="s">
        <v>26</v>
      </c>
      <c r="E1016" s="39" t="s">
        <v>213</v>
      </c>
      <c r="F1016" s="127">
        <v>36</v>
      </c>
      <c r="G1016" s="39" t="s">
        <v>205</v>
      </c>
      <c r="H1016" s="42">
        <f>928.84+178.65</f>
        <v>1107.49</v>
      </c>
      <c r="I1016" s="42">
        <v>660.75</v>
      </c>
      <c r="J1016" s="42">
        <v>900</v>
      </c>
      <c r="K1016" s="42">
        <v>471.44</v>
      </c>
      <c r="L1016" s="42">
        <f t="shared" si="274"/>
        <v>353.75</v>
      </c>
      <c r="M1016" s="42">
        <v>353.75</v>
      </c>
      <c r="N1016" s="42">
        <v>0</v>
      </c>
      <c r="O1016" s="42">
        <f t="shared" si="272"/>
        <v>0</v>
      </c>
      <c r="P1016" s="203">
        <f t="shared" si="273"/>
        <v>0</v>
      </c>
    </row>
    <row r="1017" spans="1:16" ht="15" hidden="1" customHeight="1" outlineLevel="1" x14ac:dyDescent="0.25">
      <c r="A1017" s="39" t="s">
        <v>11</v>
      </c>
      <c r="B1017" s="46" t="s">
        <v>546</v>
      </c>
      <c r="C1017" s="246"/>
      <c r="D1017" s="47" t="s">
        <v>26</v>
      </c>
      <c r="E1017" s="39" t="s">
        <v>217</v>
      </c>
      <c r="F1017" s="127">
        <v>36</v>
      </c>
      <c r="G1017" s="39" t="s">
        <v>205</v>
      </c>
      <c r="H1017" s="42">
        <f>163.96+31.53</f>
        <v>195.49</v>
      </c>
      <c r="I1017" s="42">
        <v>116.56</v>
      </c>
      <c r="J1017" s="42">
        <v>159</v>
      </c>
      <c r="K1017" s="42">
        <v>83.18</v>
      </c>
      <c r="L1017" s="42">
        <f t="shared" si="274"/>
        <v>62.41</v>
      </c>
      <c r="M1017" s="42">
        <v>62.41</v>
      </c>
      <c r="N1017" s="42">
        <v>0</v>
      </c>
      <c r="O1017" s="42">
        <f t="shared" si="272"/>
        <v>0</v>
      </c>
      <c r="P1017" s="203">
        <f t="shared" si="273"/>
        <v>0</v>
      </c>
    </row>
    <row r="1018" spans="1:16" ht="15" hidden="1" customHeight="1" outlineLevel="1" x14ac:dyDescent="0.25">
      <c r="A1018" s="39" t="s">
        <v>11</v>
      </c>
      <c r="B1018" s="46" t="s">
        <v>546</v>
      </c>
      <c r="C1018" s="246"/>
      <c r="D1018" s="47" t="s">
        <v>29</v>
      </c>
      <c r="E1018" s="39" t="s">
        <v>213</v>
      </c>
      <c r="F1018" s="127">
        <v>36</v>
      </c>
      <c r="G1018" s="39" t="s">
        <v>184</v>
      </c>
      <c r="H1018" s="42">
        <f>306.31+55.45</f>
        <v>361.76</v>
      </c>
      <c r="I1018" s="42">
        <v>375.8</v>
      </c>
      <c r="J1018" s="42">
        <v>253</v>
      </c>
      <c r="K1018" s="42">
        <v>248.39</v>
      </c>
      <c r="L1018" s="42">
        <f t="shared" si="274"/>
        <v>221.57</v>
      </c>
      <c r="M1018" s="42">
        <v>221.57</v>
      </c>
      <c r="N1018" s="42">
        <v>605</v>
      </c>
      <c r="O1018" s="42">
        <f t="shared" si="272"/>
        <v>605</v>
      </c>
      <c r="P1018" s="203">
        <f t="shared" si="273"/>
        <v>605</v>
      </c>
    </row>
    <row r="1019" spans="1:16" ht="15" hidden="1" customHeight="1" outlineLevel="1" x14ac:dyDescent="0.25">
      <c r="A1019" s="39" t="s">
        <v>11</v>
      </c>
      <c r="B1019" s="46" t="s">
        <v>546</v>
      </c>
      <c r="C1019" s="246"/>
      <c r="D1019" s="47" t="s">
        <v>29</v>
      </c>
      <c r="E1019" s="39" t="s">
        <v>217</v>
      </c>
      <c r="F1019" s="127">
        <v>36</v>
      </c>
      <c r="G1019" s="39" t="s">
        <v>184</v>
      </c>
      <c r="H1019" s="42">
        <f>54.05+9.79</f>
        <v>63.839999999999996</v>
      </c>
      <c r="I1019" s="42">
        <v>66.31</v>
      </c>
      <c r="J1019" s="42">
        <v>44</v>
      </c>
      <c r="K1019" s="42">
        <v>43.84</v>
      </c>
      <c r="L1019" s="42">
        <f t="shared" si="274"/>
        <v>51.43</v>
      </c>
      <c r="M1019" s="42">
        <v>51.43</v>
      </c>
      <c r="N1019" s="42">
        <v>0</v>
      </c>
      <c r="O1019" s="42">
        <f t="shared" si="272"/>
        <v>0</v>
      </c>
      <c r="P1019" s="203">
        <f t="shared" si="273"/>
        <v>0</v>
      </c>
    </row>
    <row r="1020" spans="1:16" ht="15" hidden="1" customHeight="1" outlineLevel="1" x14ac:dyDescent="0.25">
      <c r="A1020" s="39" t="s">
        <v>11</v>
      </c>
      <c r="B1020" s="46" t="s">
        <v>546</v>
      </c>
      <c r="C1020" s="246"/>
      <c r="D1020" s="47" t="s">
        <v>32</v>
      </c>
      <c r="E1020" s="39" t="s">
        <v>213</v>
      </c>
      <c r="F1020" s="127">
        <v>36</v>
      </c>
      <c r="G1020" s="39" t="s">
        <v>185</v>
      </c>
      <c r="H1020" s="42">
        <f>3065.17+555.07</f>
        <v>3620.2400000000002</v>
      </c>
      <c r="I1020" s="42">
        <v>3759.62</v>
      </c>
      <c r="J1020" s="42">
        <v>2518</v>
      </c>
      <c r="K1020" s="42">
        <v>2502.5500000000002</v>
      </c>
      <c r="L1020" s="42">
        <f t="shared" si="274"/>
        <v>2498.94</v>
      </c>
      <c r="M1020" s="42">
        <v>2498.94</v>
      </c>
      <c r="N1020" s="42">
        <v>6050</v>
      </c>
      <c r="O1020" s="42">
        <f t="shared" si="272"/>
        <v>6050</v>
      </c>
      <c r="P1020" s="203">
        <f t="shared" si="273"/>
        <v>6050</v>
      </c>
    </row>
    <row r="1021" spans="1:16" ht="15" hidden="1" customHeight="1" outlineLevel="1" x14ac:dyDescent="0.25">
      <c r="A1021" s="39" t="s">
        <v>11</v>
      </c>
      <c r="B1021" s="46" t="s">
        <v>546</v>
      </c>
      <c r="C1021" s="246"/>
      <c r="D1021" s="47" t="s">
        <v>32</v>
      </c>
      <c r="E1021" s="39" t="s">
        <v>217</v>
      </c>
      <c r="F1021" s="127">
        <v>36</v>
      </c>
      <c r="G1021" s="39" t="s">
        <v>185</v>
      </c>
      <c r="H1021" s="42">
        <f>540.89+97.95</f>
        <v>638.84</v>
      </c>
      <c r="I1021" s="42">
        <v>663.51</v>
      </c>
      <c r="J1021" s="42">
        <v>444</v>
      </c>
      <c r="K1021" s="42">
        <v>440.99</v>
      </c>
      <c r="L1021" s="42">
        <f t="shared" si="274"/>
        <v>514.5</v>
      </c>
      <c r="M1021" s="42">
        <v>514.5</v>
      </c>
      <c r="N1021" s="42">
        <v>0</v>
      </c>
      <c r="O1021" s="42">
        <f t="shared" si="272"/>
        <v>0</v>
      </c>
      <c r="P1021" s="203">
        <f t="shared" si="273"/>
        <v>0</v>
      </c>
    </row>
    <row r="1022" spans="1:16" ht="15" hidden="1" customHeight="1" outlineLevel="1" x14ac:dyDescent="0.25">
      <c r="A1022" s="39" t="s">
        <v>11</v>
      </c>
      <c r="B1022" s="46" t="s">
        <v>546</v>
      </c>
      <c r="C1022" s="246"/>
      <c r="D1022" s="47" t="s">
        <v>36</v>
      </c>
      <c r="E1022" s="39" t="s">
        <v>213</v>
      </c>
      <c r="F1022" s="127">
        <v>36</v>
      </c>
      <c r="G1022" s="39" t="s">
        <v>186</v>
      </c>
      <c r="H1022" s="42">
        <f>174.97+31.69</f>
        <v>206.66</v>
      </c>
      <c r="I1022" s="42">
        <v>214.7</v>
      </c>
      <c r="J1022" s="42">
        <v>144</v>
      </c>
      <c r="K1022" s="42">
        <v>142.66</v>
      </c>
      <c r="L1022" s="42">
        <f t="shared" si="274"/>
        <v>126.56</v>
      </c>
      <c r="M1022" s="42">
        <v>126.56</v>
      </c>
      <c r="N1022" s="42">
        <v>350</v>
      </c>
      <c r="O1022" s="42">
        <f t="shared" si="272"/>
        <v>350</v>
      </c>
      <c r="P1022" s="203">
        <f t="shared" si="273"/>
        <v>350</v>
      </c>
    </row>
    <row r="1023" spans="1:16" ht="15" hidden="1" customHeight="1" outlineLevel="1" x14ac:dyDescent="0.25">
      <c r="A1023" s="39" t="s">
        <v>11</v>
      </c>
      <c r="B1023" s="46" t="s">
        <v>546</v>
      </c>
      <c r="C1023" s="246"/>
      <c r="D1023" s="47" t="s">
        <v>36</v>
      </c>
      <c r="E1023" s="39" t="s">
        <v>217</v>
      </c>
      <c r="F1023" s="127">
        <v>36</v>
      </c>
      <c r="G1023" s="39" t="s">
        <v>186</v>
      </c>
      <c r="H1023" s="42">
        <f>30.85+5.59</f>
        <v>36.44</v>
      </c>
      <c r="I1023" s="42">
        <v>37.869999999999997</v>
      </c>
      <c r="J1023" s="42">
        <v>26</v>
      </c>
      <c r="K1023" s="42">
        <v>25.17</v>
      </c>
      <c r="L1023" s="42">
        <f t="shared" si="274"/>
        <v>29.37</v>
      </c>
      <c r="M1023" s="42">
        <v>29.37</v>
      </c>
      <c r="N1023" s="42">
        <v>0</v>
      </c>
      <c r="O1023" s="42">
        <f t="shared" si="272"/>
        <v>0</v>
      </c>
      <c r="P1023" s="203">
        <f t="shared" si="273"/>
        <v>0</v>
      </c>
    </row>
    <row r="1024" spans="1:16" ht="15" hidden="1" customHeight="1" outlineLevel="1" x14ac:dyDescent="0.25">
      <c r="A1024" s="39" t="s">
        <v>11</v>
      </c>
      <c r="B1024" s="46" t="s">
        <v>546</v>
      </c>
      <c r="C1024" s="246"/>
      <c r="D1024" s="47" t="s">
        <v>40</v>
      </c>
      <c r="E1024" s="39" t="s">
        <v>213</v>
      </c>
      <c r="F1024" s="127">
        <v>36</v>
      </c>
      <c r="G1024" s="39" t="s">
        <v>187</v>
      </c>
      <c r="H1024" s="42">
        <f>656.69+118.91</f>
        <v>775.6</v>
      </c>
      <c r="I1024" s="42">
        <v>805.39</v>
      </c>
      <c r="J1024" s="42">
        <v>540</v>
      </c>
      <c r="K1024" s="42">
        <v>535.41999999999996</v>
      </c>
      <c r="L1024" s="42">
        <f t="shared" si="274"/>
        <v>474.98</v>
      </c>
      <c r="M1024" s="42">
        <v>474.98</v>
      </c>
      <c r="N1024" s="42">
        <v>1300</v>
      </c>
      <c r="O1024" s="42">
        <f t="shared" si="272"/>
        <v>1300</v>
      </c>
      <c r="P1024" s="203">
        <f t="shared" si="273"/>
        <v>1300</v>
      </c>
    </row>
    <row r="1025" spans="1:16" ht="15" hidden="1" customHeight="1" outlineLevel="1" x14ac:dyDescent="0.25">
      <c r="A1025" s="39" t="s">
        <v>11</v>
      </c>
      <c r="B1025" s="46" t="s">
        <v>546</v>
      </c>
      <c r="C1025" s="246"/>
      <c r="D1025" s="47" t="s">
        <v>40</v>
      </c>
      <c r="E1025" s="39" t="s">
        <v>217</v>
      </c>
      <c r="F1025" s="127">
        <v>36</v>
      </c>
      <c r="G1025" s="39" t="s">
        <v>187</v>
      </c>
      <c r="H1025" s="42">
        <f>115.87+20.99</f>
        <v>136.86000000000001</v>
      </c>
      <c r="I1025" s="42">
        <v>142.1</v>
      </c>
      <c r="J1025" s="42">
        <v>95</v>
      </c>
      <c r="K1025" s="42">
        <v>94.48</v>
      </c>
      <c r="L1025" s="42">
        <f t="shared" si="274"/>
        <v>110.23</v>
      </c>
      <c r="M1025" s="42">
        <v>110.23</v>
      </c>
      <c r="N1025" s="42">
        <v>0</v>
      </c>
      <c r="O1025" s="42">
        <f t="shared" si="272"/>
        <v>0</v>
      </c>
      <c r="P1025" s="203">
        <f t="shared" si="273"/>
        <v>0</v>
      </c>
    </row>
    <row r="1026" spans="1:16" ht="15" hidden="1" customHeight="1" outlineLevel="1" x14ac:dyDescent="0.25">
      <c r="A1026" s="39" t="s">
        <v>11</v>
      </c>
      <c r="B1026" s="46" t="s">
        <v>546</v>
      </c>
      <c r="C1026" s="246"/>
      <c r="D1026" s="47" t="s">
        <v>44</v>
      </c>
      <c r="E1026" s="39" t="s">
        <v>213</v>
      </c>
      <c r="F1026" s="127">
        <v>36</v>
      </c>
      <c r="G1026" s="39" t="s">
        <v>47</v>
      </c>
      <c r="H1026" s="42">
        <f>218.86+39.62</f>
        <v>258.48</v>
      </c>
      <c r="I1026" s="42">
        <v>268.26</v>
      </c>
      <c r="J1026" s="42">
        <v>180</v>
      </c>
      <c r="K1026" s="42">
        <v>177.41</v>
      </c>
      <c r="L1026" s="42">
        <f t="shared" si="274"/>
        <v>158.25</v>
      </c>
      <c r="M1026" s="42">
        <v>158.25</v>
      </c>
      <c r="N1026" s="42">
        <v>440</v>
      </c>
      <c r="O1026" s="42">
        <f t="shared" si="272"/>
        <v>440</v>
      </c>
      <c r="P1026" s="203">
        <f t="shared" si="273"/>
        <v>440</v>
      </c>
    </row>
    <row r="1027" spans="1:16" ht="15" hidden="1" customHeight="1" outlineLevel="1" x14ac:dyDescent="0.25">
      <c r="A1027" s="39" t="s">
        <v>11</v>
      </c>
      <c r="B1027" s="46" t="s">
        <v>546</v>
      </c>
      <c r="C1027" s="246"/>
      <c r="D1027" s="47" t="s">
        <v>44</v>
      </c>
      <c r="E1027" s="39" t="s">
        <v>217</v>
      </c>
      <c r="F1027" s="127">
        <v>36</v>
      </c>
      <c r="G1027" s="39" t="s">
        <v>47</v>
      </c>
      <c r="H1027" s="42">
        <f>38.66+7</f>
        <v>45.66</v>
      </c>
      <c r="I1027" s="42">
        <v>47.34</v>
      </c>
      <c r="J1027" s="42">
        <v>32</v>
      </c>
      <c r="K1027" s="42">
        <v>31.3</v>
      </c>
      <c r="L1027" s="42">
        <f t="shared" si="274"/>
        <v>36.72</v>
      </c>
      <c r="M1027" s="42">
        <v>36.72</v>
      </c>
      <c r="N1027" s="42">
        <v>0</v>
      </c>
      <c r="O1027" s="42">
        <f t="shared" si="272"/>
        <v>0</v>
      </c>
      <c r="P1027" s="203">
        <f t="shared" si="273"/>
        <v>0</v>
      </c>
    </row>
    <row r="1028" spans="1:16" ht="15" hidden="1" customHeight="1" outlineLevel="1" x14ac:dyDescent="0.25">
      <c r="A1028" s="39" t="s">
        <v>11</v>
      </c>
      <c r="B1028" s="46" t="s">
        <v>546</v>
      </c>
      <c r="C1028" s="246"/>
      <c r="D1028" s="47" t="s">
        <v>48</v>
      </c>
      <c r="E1028" s="39" t="s">
        <v>213</v>
      </c>
      <c r="F1028" s="127">
        <v>36</v>
      </c>
      <c r="G1028" s="39" t="s">
        <v>188</v>
      </c>
      <c r="H1028" s="42">
        <f>1039.75+188.29</f>
        <v>1228.04</v>
      </c>
      <c r="I1028" s="42">
        <v>1275.42</v>
      </c>
      <c r="J1028" s="42">
        <v>855</v>
      </c>
      <c r="K1028" s="42">
        <v>847.8</v>
      </c>
      <c r="L1028" s="42">
        <f t="shared" si="274"/>
        <v>752.09</v>
      </c>
      <c r="M1028" s="42">
        <v>752.09</v>
      </c>
      <c r="N1028" s="42">
        <v>2055</v>
      </c>
      <c r="O1028" s="42">
        <f t="shared" si="272"/>
        <v>2055</v>
      </c>
      <c r="P1028" s="203">
        <f t="shared" si="273"/>
        <v>2055</v>
      </c>
    </row>
    <row r="1029" spans="1:16" ht="15" hidden="1" customHeight="1" outlineLevel="1" x14ac:dyDescent="0.25">
      <c r="A1029" s="39" t="s">
        <v>11</v>
      </c>
      <c r="B1029" s="46" t="s">
        <v>546</v>
      </c>
      <c r="C1029" s="246"/>
      <c r="D1029" s="47" t="s">
        <v>48</v>
      </c>
      <c r="E1029" s="39" t="s">
        <v>217</v>
      </c>
      <c r="F1029" s="127">
        <v>36</v>
      </c>
      <c r="G1029" s="39" t="s">
        <v>188</v>
      </c>
      <c r="H1029" s="42">
        <f>183.52+33.23</f>
        <v>216.75</v>
      </c>
      <c r="I1029" s="42">
        <v>225.11</v>
      </c>
      <c r="J1029" s="42">
        <v>150</v>
      </c>
      <c r="K1029" s="42">
        <v>149.62</v>
      </c>
      <c r="L1029" s="42">
        <f t="shared" si="274"/>
        <v>174.56</v>
      </c>
      <c r="M1029" s="42">
        <v>174.56</v>
      </c>
      <c r="N1029" s="42">
        <v>0</v>
      </c>
      <c r="O1029" s="42">
        <f t="shared" si="272"/>
        <v>0</v>
      </c>
      <c r="P1029" s="203">
        <f t="shared" si="273"/>
        <v>0</v>
      </c>
    </row>
    <row r="1030" spans="1:16" ht="15" hidden="1" customHeight="1" outlineLevel="1" x14ac:dyDescent="0.25">
      <c r="A1030" s="39" t="s">
        <v>11</v>
      </c>
      <c r="B1030" s="46" t="s">
        <v>546</v>
      </c>
      <c r="C1030" s="246"/>
      <c r="D1030" s="47" t="s">
        <v>54</v>
      </c>
      <c r="E1030" s="39" t="s">
        <v>213</v>
      </c>
      <c r="F1030" s="127">
        <v>36</v>
      </c>
      <c r="G1030" s="39" t="s">
        <v>430</v>
      </c>
      <c r="H1030" s="42">
        <v>200.26</v>
      </c>
      <c r="I1030" s="42">
        <v>361.69</v>
      </c>
      <c r="J1030" s="42">
        <v>150</v>
      </c>
      <c r="K1030" s="42">
        <v>270.35000000000002</v>
      </c>
      <c r="L1030" s="42">
        <f t="shared" si="274"/>
        <v>270.35000000000002</v>
      </c>
      <c r="M1030" s="42">
        <v>270.35000000000002</v>
      </c>
      <c r="N1030" s="42">
        <v>600</v>
      </c>
      <c r="O1030" s="42">
        <f t="shared" si="272"/>
        <v>600</v>
      </c>
      <c r="P1030" s="203">
        <f t="shared" si="273"/>
        <v>600</v>
      </c>
    </row>
    <row r="1031" spans="1:16" ht="15" hidden="1" customHeight="1" outlineLevel="1" x14ac:dyDescent="0.25">
      <c r="A1031" s="39" t="s">
        <v>11</v>
      </c>
      <c r="B1031" s="46" t="s">
        <v>546</v>
      </c>
      <c r="C1031" s="246"/>
      <c r="D1031" s="47" t="s">
        <v>56</v>
      </c>
      <c r="E1031" s="39" t="s">
        <v>17</v>
      </c>
      <c r="F1031" s="127">
        <v>36</v>
      </c>
      <c r="G1031" s="39" t="s">
        <v>431</v>
      </c>
      <c r="H1031" s="42">
        <v>59.08</v>
      </c>
      <c r="I1031" s="42">
        <v>93.5</v>
      </c>
      <c r="J1031" s="42">
        <v>50</v>
      </c>
      <c r="K1031" s="42">
        <v>24.37</v>
      </c>
      <c r="L1031" s="42">
        <f t="shared" si="274"/>
        <v>24.37</v>
      </c>
      <c r="M1031" s="42">
        <v>24.37</v>
      </c>
      <c r="N1031" s="42">
        <v>50</v>
      </c>
      <c r="O1031" s="42">
        <f t="shared" si="272"/>
        <v>50</v>
      </c>
      <c r="P1031" s="203">
        <f t="shared" si="273"/>
        <v>50</v>
      </c>
    </row>
    <row r="1032" spans="1:16" ht="15" hidden="1" customHeight="1" outlineLevel="1" x14ac:dyDescent="0.25">
      <c r="A1032" s="39" t="s">
        <v>11</v>
      </c>
      <c r="B1032" s="46" t="s">
        <v>546</v>
      </c>
      <c r="C1032" s="246"/>
      <c r="D1032" s="47" t="s">
        <v>56</v>
      </c>
      <c r="E1032" s="39" t="s">
        <v>17</v>
      </c>
      <c r="F1032" s="127">
        <v>36</v>
      </c>
      <c r="G1032" s="39" t="s">
        <v>432</v>
      </c>
      <c r="H1032" s="42">
        <v>85.13</v>
      </c>
      <c r="I1032" s="42">
        <v>55</v>
      </c>
      <c r="J1032" s="42">
        <v>50</v>
      </c>
      <c r="K1032" s="42">
        <v>42.41</v>
      </c>
      <c r="L1032" s="42">
        <f t="shared" si="274"/>
        <v>42.41</v>
      </c>
      <c r="M1032" s="42">
        <v>42.41</v>
      </c>
      <c r="N1032" s="42">
        <v>50</v>
      </c>
      <c r="O1032" s="42">
        <f t="shared" si="272"/>
        <v>50</v>
      </c>
      <c r="P1032" s="203">
        <f t="shared" si="273"/>
        <v>50</v>
      </c>
    </row>
    <row r="1033" spans="1:16" ht="15" hidden="1" customHeight="1" outlineLevel="1" x14ac:dyDescent="0.25">
      <c r="A1033" s="39" t="s">
        <v>11</v>
      </c>
      <c r="B1033" s="46" t="s">
        <v>546</v>
      </c>
      <c r="C1033" s="246"/>
      <c r="D1033" s="47" t="s">
        <v>65</v>
      </c>
      <c r="E1033" s="39" t="s">
        <v>17</v>
      </c>
      <c r="F1033" s="127">
        <v>36</v>
      </c>
      <c r="G1033" s="39" t="s">
        <v>435</v>
      </c>
      <c r="H1033" s="42">
        <v>294.61</v>
      </c>
      <c r="I1033" s="42">
        <v>57.12</v>
      </c>
      <c r="J1033" s="42">
        <v>150</v>
      </c>
      <c r="K1033" s="42">
        <v>34.49</v>
      </c>
      <c r="L1033" s="42">
        <f t="shared" si="274"/>
        <v>34.49</v>
      </c>
      <c r="M1033" s="42">
        <v>34.49</v>
      </c>
      <c r="N1033" s="42">
        <v>100</v>
      </c>
      <c r="O1033" s="42">
        <f t="shared" si="272"/>
        <v>100</v>
      </c>
      <c r="P1033" s="203">
        <f t="shared" si="273"/>
        <v>100</v>
      </c>
    </row>
    <row r="1034" spans="1:16" ht="15" hidden="1" customHeight="1" outlineLevel="1" x14ac:dyDescent="0.25">
      <c r="A1034" s="39" t="s">
        <v>11</v>
      </c>
      <c r="B1034" s="46" t="s">
        <v>546</v>
      </c>
      <c r="C1034" s="246"/>
      <c r="D1034" s="47" t="s">
        <v>74</v>
      </c>
      <c r="E1034" s="39" t="s">
        <v>213</v>
      </c>
      <c r="F1034" s="127">
        <v>36</v>
      </c>
      <c r="G1034" s="39" t="s">
        <v>436</v>
      </c>
      <c r="H1034" s="42">
        <v>483.58</v>
      </c>
      <c r="I1034" s="42">
        <v>477.07</v>
      </c>
      <c r="J1034" s="42">
        <v>230</v>
      </c>
      <c r="K1034" s="42">
        <v>306.95999999999998</v>
      </c>
      <c r="L1034" s="42">
        <f t="shared" si="274"/>
        <v>306.95999999999998</v>
      </c>
      <c r="M1034" s="42">
        <v>306.95999999999998</v>
      </c>
      <c r="N1034" s="42">
        <v>600</v>
      </c>
      <c r="O1034" s="42">
        <f t="shared" si="272"/>
        <v>600</v>
      </c>
      <c r="P1034" s="203">
        <f t="shared" si="273"/>
        <v>600</v>
      </c>
    </row>
    <row r="1035" spans="1:16" ht="15" hidden="1" customHeight="1" outlineLevel="1" x14ac:dyDescent="0.25">
      <c r="A1035" s="39" t="s">
        <v>11</v>
      </c>
      <c r="B1035" s="46" t="s">
        <v>546</v>
      </c>
      <c r="C1035" s="246"/>
      <c r="D1035" s="47" t="s">
        <v>74</v>
      </c>
      <c r="E1035" s="39" t="s">
        <v>217</v>
      </c>
      <c r="F1035" s="127">
        <v>36</v>
      </c>
      <c r="G1035" s="39" t="s">
        <v>436</v>
      </c>
      <c r="H1035" s="42">
        <v>84.41</v>
      </c>
      <c r="I1035" s="42">
        <v>84.26</v>
      </c>
      <c r="J1035" s="42">
        <v>40</v>
      </c>
      <c r="K1035" s="42">
        <v>54.18</v>
      </c>
      <c r="L1035" s="42">
        <f t="shared" si="274"/>
        <v>54.18</v>
      </c>
      <c r="M1035" s="42">
        <v>54.18</v>
      </c>
      <c r="N1035" s="42">
        <v>50</v>
      </c>
      <c r="O1035" s="42">
        <f t="shared" si="272"/>
        <v>50</v>
      </c>
      <c r="P1035" s="203">
        <f t="shared" si="273"/>
        <v>50</v>
      </c>
    </row>
    <row r="1036" spans="1:16" ht="15" hidden="1" customHeight="1" outlineLevel="1" x14ac:dyDescent="0.25">
      <c r="A1036" s="39" t="s">
        <v>11</v>
      </c>
      <c r="B1036" s="46" t="s">
        <v>546</v>
      </c>
      <c r="C1036" s="246"/>
      <c r="D1036" s="47" t="s">
        <v>80</v>
      </c>
      <c r="E1036" s="39" t="s">
        <v>17</v>
      </c>
      <c r="F1036" s="127">
        <v>36</v>
      </c>
      <c r="G1036" s="39" t="s">
        <v>81</v>
      </c>
      <c r="H1036" s="42">
        <v>216.35</v>
      </c>
      <c r="I1036" s="42">
        <v>0</v>
      </c>
      <c r="J1036" s="42">
        <v>0</v>
      </c>
      <c r="K1036" s="42">
        <v>0</v>
      </c>
      <c r="L1036" s="42">
        <f t="shared" si="274"/>
        <v>0</v>
      </c>
      <c r="M1036" s="42">
        <v>0</v>
      </c>
      <c r="N1036" s="42">
        <v>0</v>
      </c>
      <c r="O1036" s="42">
        <f t="shared" si="272"/>
        <v>0</v>
      </c>
      <c r="P1036" s="203">
        <f t="shared" si="273"/>
        <v>0</v>
      </c>
    </row>
    <row r="1037" spans="1:16" ht="15" hidden="1" customHeight="1" outlineLevel="1" x14ac:dyDescent="0.25">
      <c r="A1037" s="39" t="s">
        <v>11</v>
      </c>
      <c r="B1037" s="46" t="s">
        <v>546</v>
      </c>
      <c r="C1037" s="246"/>
      <c r="D1037" s="47" t="s">
        <v>88</v>
      </c>
      <c r="E1037" s="39" t="s">
        <v>213</v>
      </c>
      <c r="F1037" s="127">
        <v>36</v>
      </c>
      <c r="G1037" s="39" t="s">
        <v>92</v>
      </c>
      <c r="H1037" s="42">
        <v>1.5</v>
      </c>
      <c r="I1037" s="42">
        <v>23.97</v>
      </c>
      <c r="J1037" s="42">
        <v>25</v>
      </c>
      <c r="K1037" s="42">
        <v>23.4</v>
      </c>
      <c r="L1037" s="42">
        <f t="shared" si="274"/>
        <v>23.4</v>
      </c>
      <c r="M1037" s="42">
        <v>23.4</v>
      </c>
      <c r="N1037" s="42">
        <v>50</v>
      </c>
      <c r="O1037" s="42">
        <f t="shared" si="272"/>
        <v>50</v>
      </c>
      <c r="P1037" s="203">
        <f t="shared" si="273"/>
        <v>50</v>
      </c>
    </row>
    <row r="1038" spans="1:16" ht="15" hidden="1" customHeight="1" outlineLevel="1" x14ac:dyDescent="0.25">
      <c r="A1038" s="39" t="s">
        <v>11</v>
      </c>
      <c r="B1038" s="46" t="s">
        <v>546</v>
      </c>
      <c r="C1038" s="246"/>
      <c r="D1038" s="47" t="s">
        <v>88</v>
      </c>
      <c r="E1038" s="39" t="s">
        <v>213</v>
      </c>
      <c r="F1038" s="127">
        <v>36</v>
      </c>
      <c r="G1038" s="39" t="s">
        <v>200</v>
      </c>
      <c r="H1038" s="42">
        <v>411.25</v>
      </c>
      <c r="I1038" s="42">
        <v>294.88</v>
      </c>
      <c r="J1038" s="42">
        <v>150</v>
      </c>
      <c r="K1038" s="42">
        <v>203.55</v>
      </c>
      <c r="L1038" s="42">
        <f t="shared" si="274"/>
        <v>203.55</v>
      </c>
      <c r="M1038" s="42">
        <v>203.55</v>
      </c>
      <c r="N1038" s="42">
        <v>250</v>
      </c>
      <c r="O1038" s="42">
        <f t="shared" si="272"/>
        <v>250</v>
      </c>
      <c r="P1038" s="203">
        <f t="shared" si="273"/>
        <v>250</v>
      </c>
    </row>
    <row r="1039" spans="1:16" ht="15" hidden="1" customHeight="1" outlineLevel="1" x14ac:dyDescent="0.25">
      <c r="A1039" s="39" t="s">
        <v>11</v>
      </c>
      <c r="B1039" s="46" t="s">
        <v>546</v>
      </c>
      <c r="C1039" s="246"/>
      <c r="D1039" s="47" t="s">
        <v>88</v>
      </c>
      <c r="E1039" s="39" t="s">
        <v>217</v>
      </c>
      <c r="F1039" s="127">
        <v>36</v>
      </c>
      <c r="G1039" s="39" t="s">
        <v>92</v>
      </c>
      <c r="H1039" s="42">
        <v>6.45</v>
      </c>
      <c r="I1039" s="42">
        <v>0</v>
      </c>
      <c r="J1039" s="42">
        <v>0</v>
      </c>
      <c r="K1039" s="42">
        <v>0</v>
      </c>
      <c r="L1039" s="42">
        <f t="shared" si="274"/>
        <v>0</v>
      </c>
      <c r="M1039" s="42">
        <v>0</v>
      </c>
      <c r="N1039" s="42">
        <v>0</v>
      </c>
      <c r="O1039" s="42">
        <f t="shared" si="272"/>
        <v>0</v>
      </c>
      <c r="P1039" s="203">
        <f t="shared" si="273"/>
        <v>0</v>
      </c>
    </row>
    <row r="1040" spans="1:16" ht="15" hidden="1" customHeight="1" outlineLevel="1" x14ac:dyDescent="0.25">
      <c r="A1040" s="39" t="s">
        <v>11</v>
      </c>
      <c r="B1040" s="46" t="s">
        <v>546</v>
      </c>
      <c r="C1040" s="246"/>
      <c r="D1040" s="47" t="s">
        <v>103</v>
      </c>
      <c r="E1040" s="39" t="s">
        <v>17</v>
      </c>
      <c r="F1040" s="127">
        <v>36</v>
      </c>
      <c r="G1040" s="39" t="s">
        <v>104</v>
      </c>
      <c r="H1040" s="42">
        <v>200</v>
      </c>
      <c r="I1040" s="42">
        <v>200</v>
      </c>
      <c r="J1040" s="42">
        <v>200</v>
      </c>
      <c r="K1040" s="42">
        <v>75</v>
      </c>
      <c r="L1040" s="42">
        <f t="shared" si="274"/>
        <v>75</v>
      </c>
      <c r="M1040" s="42">
        <v>75</v>
      </c>
      <c r="N1040" s="42">
        <v>0</v>
      </c>
      <c r="O1040" s="42">
        <f t="shared" si="272"/>
        <v>0</v>
      </c>
      <c r="P1040" s="203">
        <f t="shared" si="273"/>
        <v>0</v>
      </c>
    </row>
    <row r="1041" spans="1:16" ht="15" hidden="1" customHeight="1" outlineLevel="1" x14ac:dyDescent="0.25">
      <c r="A1041" s="39" t="s">
        <v>11</v>
      </c>
      <c r="B1041" s="46" t="s">
        <v>546</v>
      </c>
      <c r="C1041" s="246"/>
      <c r="D1041" s="47" t="s">
        <v>105</v>
      </c>
      <c r="E1041" s="39" t="s">
        <v>17</v>
      </c>
      <c r="F1041" s="127">
        <v>36</v>
      </c>
      <c r="G1041" s="39" t="s">
        <v>106</v>
      </c>
      <c r="H1041" s="42">
        <v>81.03</v>
      </c>
      <c r="I1041" s="42">
        <v>48.9</v>
      </c>
      <c r="J1041" s="42">
        <v>20</v>
      </c>
      <c r="K1041" s="42">
        <v>32.130000000000003</v>
      </c>
      <c r="L1041" s="42">
        <f t="shared" si="274"/>
        <v>32.130000000000003</v>
      </c>
      <c r="M1041" s="42">
        <v>32.130000000000003</v>
      </c>
      <c r="N1041" s="42">
        <v>50</v>
      </c>
      <c r="O1041" s="42">
        <f t="shared" si="272"/>
        <v>50</v>
      </c>
      <c r="P1041" s="203">
        <f t="shared" si="273"/>
        <v>50</v>
      </c>
    </row>
    <row r="1042" spans="1:16" ht="15" hidden="1" customHeight="1" outlineLevel="1" x14ac:dyDescent="0.25">
      <c r="A1042" s="39" t="s">
        <v>11</v>
      </c>
      <c r="B1042" s="46" t="s">
        <v>546</v>
      </c>
      <c r="C1042" s="246"/>
      <c r="D1042" s="47" t="s">
        <v>128</v>
      </c>
      <c r="E1042" s="39" t="s">
        <v>17</v>
      </c>
      <c r="F1042" s="127">
        <v>36</v>
      </c>
      <c r="G1042" s="39" t="s">
        <v>130</v>
      </c>
      <c r="H1042" s="42">
        <v>60</v>
      </c>
      <c r="I1042" s="42">
        <v>0</v>
      </c>
      <c r="J1042" s="42">
        <v>0</v>
      </c>
      <c r="K1042" s="42">
        <v>5.03</v>
      </c>
      <c r="L1042" s="42">
        <f t="shared" si="274"/>
        <v>5.03</v>
      </c>
      <c r="M1042" s="42">
        <v>5.03</v>
      </c>
      <c r="N1042" s="42">
        <v>0</v>
      </c>
      <c r="O1042" s="42">
        <f t="shared" si="272"/>
        <v>0</v>
      </c>
      <c r="P1042" s="203">
        <f t="shared" si="273"/>
        <v>0</v>
      </c>
    </row>
    <row r="1043" spans="1:16" ht="15" hidden="1" customHeight="1" outlineLevel="1" x14ac:dyDescent="0.25">
      <c r="A1043" s="39" t="s">
        <v>11</v>
      </c>
      <c r="B1043" s="46" t="s">
        <v>546</v>
      </c>
      <c r="C1043" s="246"/>
      <c r="D1043" s="47" t="s">
        <v>135</v>
      </c>
      <c r="E1043" s="39" t="s">
        <v>17</v>
      </c>
      <c r="F1043" s="127">
        <v>36</v>
      </c>
      <c r="G1043" s="39" t="s">
        <v>136</v>
      </c>
      <c r="H1043" s="42">
        <v>0</v>
      </c>
      <c r="I1043" s="42">
        <v>15.06</v>
      </c>
      <c r="J1043" s="42">
        <v>0</v>
      </c>
      <c r="K1043" s="42">
        <v>40.950000000000003</v>
      </c>
      <c r="L1043" s="42">
        <f t="shared" si="274"/>
        <v>40.950000000000003</v>
      </c>
      <c r="M1043" s="42">
        <v>40.950000000000003</v>
      </c>
      <c r="N1043" s="42">
        <v>100</v>
      </c>
      <c r="O1043" s="42">
        <f t="shared" si="272"/>
        <v>100</v>
      </c>
      <c r="P1043" s="203">
        <f t="shared" si="273"/>
        <v>100</v>
      </c>
    </row>
    <row r="1044" spans="1:16" ht="15" hidden="1" customHeight="1" outlineLevel="1" x14ac:dyDescent="0.25">
      <c r="A1044" s="39" t="s">
        <v>11</v>
      </c>
      <c r="B1044" s="46" t="s">
        <v>546</v>
      </c>
      <c r="C1044" s="246"/>
      <c r="D1044" s="47" t="s">
        <v>151</v>
      </c>
      <c r="E1044" s="39" t="s">
        <v>213</v>
      </c>
      <c r="F1044" s="127">
        <v>36</v>
      </c>
      <c r="G1044" s="39" t="s">
        <v>247</v>
      </c>
      <c r="H1044" s="42">
        <v>1630.85</v>
      </c>
      <c r="I1044" s="42">
        <v>0</v>
      </c>
      <c r="J1044" s="42">
        <v>0</v>
      </c>
      <c r="K1044" s="42">
        <v>0</v>
      </c>
      <c r="L1044" s="42">
        <v>0</v>
      </c>
      <c r="M1044" s="42">
        <v>0</v>
      </c>
      <c r="N1044" s="42">
        <v>0</v>
      </c>
      <c r="O1044" s="42">
        <f t="shared" si="272"/>
        <v>0</v>
      </c>
      <c r="P1044" s="203">
        <f t="shared" si="273"/>
        <v>0</v>
      </c>
    </row>
    <row r="1045" spans="1:16" ht="15" hidden="1" customHeight="1" outlineLevel="1" x14ac:dyDescent="0.25">
      <c r="A1045" s="39" t="s">
        <v>11</v>
      </c>
      <c r="B1045" s="46" t="s">
        <v>546</v>
      </c>
      <c r="C1045" s="246"/>
      <c r="D1045" s="47" t="s">
        <v>151</v>
      </c>
      <c r="E1045" s="39" t="s">
        <v>17</v>
      </c>
      <c r="F1045" s="127">
        <v>36</v>
      </c>
      <c r="G1045" s="39" t="s">
        <v>152</v>
      </c>
      <c r="H1045" s="42">
        <v>1599.97</v>
      </c>
      <c r="I1045" s="42">
        <v>1493.46</v>
      </c>
      <c r="J1045" s="42">
        <v>954</v>
      </c>
      <c r="K1045" s="42">
        <v>752.4</v>
      </c>
      <c r="L1045" s="42">
        <f t="shared" si="274"/>
        <v>752.4</v>
      </c>
      <c r="M1045" s="42">
        <v>752.4</v>
      </c>
      <c r="N1045" s="42">
        <v>2244</v>
      </c>
      <c r="O1045" s="42">
        <f t="shared" si="272"/>
        <v>2244</v>
      </c>
      <c r="P1045" s="203">
        <f t="shared" si="273"/>
        <v>2244</v>
      </c>
    </row>
    <row r="1046" spans="1:16" ht="15" hidden="1" customHeight="1" outlineLevel="1" thickBot="1" x14ac:dyDescent="0.3">
      <c r="A1046" s="39"/>
      <c r="B1046" s="46"/>
      <c r="C1046" s="246"/>
      <c r="D1046" s="59" t="s">
        <v>155</v>
      </c>
      <c r="E1046" s="45" t="s">
        <v>17</v>
      </c>
      <c r="F1046" s="128">
        <v>36</v>
      </c>
      <c r="G1046" s="45" t="s">
        <v>156</v>
      </c>
      <c r="H1046" s="64">
        <v>365.01</v>
      </c>
      <c r="I1046" s="64">
        <v>396.25</v>
      </c>
      <c r="J1046" s="64">
        <v>238</v>
      </c>
      <c r="K1046" s="64">
        <v>187.65</v>
      </c>
      <c r="L1046" s="64">
        <f t="shared" si="274"/>
        <v>187.65</v>
      </c>
      <c r="M1046" s="64">
        <v>187.65</v>
      </c>
      <c r="N1046" s="64">
        <v>432</v>
      </c>
      <c r="O1046" s="64">
        <f t="shared" si="272"/>
        <v>432</v>
      </c>
      <c r="P1046" s="205">
        <f t="shared" si="273"/>
        <v>432</v>
      </c>
    </row>
    <row r="1047" spans="1:16" ht="15" customHeight="1" collapsed="1" thickBot="1" x14ac:dyDescent="0.3">
      <c r="A1047" s="39" t="s">
        <v>11</v>
      </c>
      <c r="B1047" s="46" t="s">
        <v>483</v>
      </c>
      <c r="C1047" s="246"/>
      <c r="D1047" s="112" t="s">
        <v>593</v>
      </c>
      <c r="E1047" s="76"/>
      <c r="F1047" s="129">
        <v>36</v>
      </c>
      <c r="G1047" s="61" t="s">
        <v>684</v>
      </c>
      <c r="H1047" s="62">
        <v>45532.800000000003</v>
      </c>
      <c r="I1047" s="62">
        <f>SUM(I1011:I1046)</f>
        <v>46705.13</v>
      </c>
      <c r="J1047" s="62">
        <f t="shared" ref="J1047:P1047" si="275">SUM(J1011:J1046)</f>
        <v>30810</v>
      </c>
      <c r="K1047" s="62">
        <f t="shared" si="275"/>
        <v>30809.999999999996</v>
      </c>
      <c r="L1047" s="62">
        <f t="shared" si="275"/>
        <v>29070.030000000006</v>
      </c>
      <c r="M1047" s="62">
        <f t="shared" si="275"/>
        <v>29070.030000000006</v>
      </c>
      <c r="N1047" s="62">
        <f t="shared" si="275"/>
        <v>62896</v>
      </c>
      <c r="O1047" s="62">
        <f t="shared" si="275"/>
        <v>62896</v>
      </c>
      <c r="P1047" s="63">
        <f t="shared" si="275"/>
        <v>62896</v>
      </c>
    </row>
    <row r="1048" spans="1:16" ht="15" hidden="1" customHeight="1" outlineLevel="1" x14ac:dyDescent="0.25">
      <c r="A1048" s="39" t="s">
        <v>11</v>
      </c>
      <c r="B1048" s="46" t="s">
        <v>483</v>
      </c>
      <c r="C1048" s="246"/>
      <c r="D1048" s="58" t="s">
        <v>22</v>
      </c>
      <c r="E1048" s="40" t="s">
        <v>14</v>
      </c>
      <c r="F1048" s="40" t="s">
        <v>429</v>
      </c>
      <c r="G1048" s="40" t="s">
        <v>23</v>
      </c>
      <c r="H1048" s="41">
        <v>81.78</v>
      </c>
      <c r="I1048" s="41">
        <v>67.790000000000006</v>
      </c>
      <c r="J1048" s="41">
        <v>85</v>
      </c>
      <c r="K1048" s="41">
        <v>85</v>
      </c>
      <c r="L1048" s="41">
        <v>27.39</v>
      </c>
      <c r="M1048" s="41">
        <v>27.39</v>
      </c>
      <c r="N1048" s="41">
        <v>40</v>
      </c>
      <c r="O1048" s="41">
        <f>N1048</f>
        <v>40</v>
      </c>
      <c r="P1048" s="201">
        <f>N1048</f>
        <v>40</v>
      </c>
    </row>
    <row r="1049" spans="1:16" ht="15" hidden="1" customHeight="1" outlineLevel="1" x14ac:dyDescent="0.25">
      <c r="A1049" s="15"/>
      <c r="B1049" s="46" t="s">
        <v>483</v>
      </c>
      <c r="C1049" s="246"/>
      <c r="D1049" s="47" t="s">
        <v>26</v>
      </c>
      <c r="E1049" s="39" t="s">
        <v>14</v>
      </c>
      <c r="F1049" s="39" t="s">
        <v>429</v>
      </c>
      <c r="G1049" s="39" t="s">
        <v>27</v>
      </c>
      <c r="H1049" s="42">
        <v>19.5</v>
      </c>
      <c r="I1049" s="42">
        <v>17.7</v>
      </c>
      <c r="J1049" s="42">
        <v>20</v>
      </c>
      <c r="K1049" s="42">
        <v>20</v>
      </c>
      <c r="L1049" s="42">
        <v>5.6</v>
      </c>
      <c r="M1049" s="42">
        <v>5.6</v>
      </c>
      <c r="N1049" s="42">
        <v>20</v>
      </c>
      <c r="O1049" s="42">
        <f>N1049</f>
        <v>20</v>
      </c>
      <c r="P1049" s="203">
        <f>N1049</f>
        <v>20</v>
      </c>
    </row>
    <row r="1050" spans="1:16" hidden="1" outlineLevel="1" collapsed="1" x14ac:dyDescent="0.25">
      <c r="A1050" s="39" t="s">
        <v>11</v>
      </c>
      <c r="B1050" s="46" t="s">
        <v>489</v>
      </c>
      <c r="C1050" s="246"/>
      <c r="D1050" s="47" t="s">
        <v>20</v>
      </c>
      <c r="E1050" s="39" t="s">
        <v>14</v>
      </c>
      <c r="F1050" s="39" t="s">
        <v>429</v>
      </c>
      <c r="G1050" s="39" t="s">
        <v>21</v>
      </c>
      <c r="H1050" s="42">
        <v>1012.86</v>
      </c>
      <c r="I1050" s="42">
        <v>854.87</v>
      </c>
      <c r="J1050" s="42">
        <v>1078</v>
      </c>
      <c r="K1050" s="42">
        <v>1078</v>
      </c>
      <c r="L1050" s="42">
        <v>329.9</v>
      </c>
      <c r="M1050" s="42">
        <v>329.9</v>
      </c>
      <c r="N1050" s="42">
        <v>400</v>
      </c>
      <c r="O1050" s="42">
        <f>N1050</f>
        <v>400</v>
      </c>
      <c r="P1050" s="203">
        <f>N1050</f>
        <v>400</v>
      </c>
    </row>
    <row r="1051" spans="1:16" ht="15" hidden="1" customHeight="1" outlineLevel="1" x14ac:dyDescent="0.25">
      <c r="A1051" s="39" t="s">
        <v>11</v>
      </c>
      <c r="B1051" s="46" t="s">
        <v>489</v>
      </c>
      <c r="C1051" s="246"/>
      <c r="D1051" s="47" t="s">
        <v>29</v>
      </c>
      <c r="E1051" s="39" t="s">
        <v>14</v>
      </c>
      <c r="F1051" s="39" t="s">
        <v>429</v>
      </c>
      <c r="G1051" s="39" t="s">
        <v>30</v>
      </c>
      <c r="H1051" s="42">
        <v>14.18</v>
      </c>
      <c r="I1051" s="42">
        <v>11.97</v>
      </c>
      <c r="J1051" s="42">
        <v>15</v>
      </c>
      <c r="K1051" s="42">
        <v>15</v>
      </c>
      <c r="L1051" s="42">
        <v>4.5999999999999996</v>
      </c>
      <c r="M1051" s="42">
        <v>4.5999999999999996</v>
      </c>
      <c r="N1051" s="42">
        <v>20</v>
      </c>
      <c r="O1051" s="42">
        <f t="shared" si="272"/>
        <v>20</v>
      </c>
      <c r="P1051" s="203">
        <f t="shared" si="273"/>
        <v>20</v>
      </c>
    </row>
    <row r="1052" spans="1:16" ht="15" hidden="1" customHeight="1" outlineLevel="1" x14ac:dyDescent="0.25">
      <c r="A1052" s="39" t="s">
        <v>11</v>
      </c>
      <c r="B1052" s="46" t="s">
        <v>489</v>
      </c>
      <c r="C1052" s="246"/>
      <c r="D1052" s="47" t="s">
        <v>32</v>
      </c>
      <c r="E1052" s="39" t="s">
        <v>14</v>
      </c>
      <c r="F1052" s="39" t="s">
        <v>429</v>
      </c>
      <c r="G1052" s="39" t="s">
        <v>34</v>
      </c>
      <c r="H1052" s="42">
        <v>141.80000000000001</v>
      </c>
      <c r="I1052" s="42">
        <v>119.72</v>
      </c>
      <c r="J1052" s="42">
        <v>150</v>
      </c>
      <c r="K1052" s="42">
        <v>150</v>
      </c>
      <c r="L1052" s="42">
        <v>45.9</v>
      </c>
      <c r="M1052" s="42">
        <v>45.9</v>
      </c>
      <c r="N1052" s="42">
        <v>60</v>
      </c>
      <c r="O1052" s="42">
        <f t="shared" si="272"/>
        <v>60</v>
      </c>
      <c r="P1052" s="203">
        <f t="shared" si="273"/>
        <v>60</v>
      </c>
    </row>
    <row r="1053" spans="1:16" ht="15" hidden="1" customHeight="1" outlineLevel="1" x14ac:dyDescent="0.25">
      <c r="A1053" s="39" t="s">
        <v>11</v>
      </c>
      <c r="B1053" s="46" t="s">
        <v>489</v>
      </c>
      <c r="C1053" s="246"/>
      <c r="D1053" s="47" t="s">
        <v>36</v>
      </c>
      <c r="E1053" s="39" t="s">
        <v>14</v>
      </c>
      <c r="F1053" s="39" t="s">
        <v>429</v>
      </c>
      <c r="G1053" s="39" t="s">
        <v>38</v>
      </c>
      <c r="H1053" s="42">
        <v>8.11</v>
      </c>
      <c r="I1053" s="42">
        <v>6.84</v>
      </c>
      <c r="J1053" s="42">
        <v>9</v>
      </c>
      <c r="K1053" s="42">
        <v>9</v>
      </c>
      <c r="L1053" s="42">
        <v>2.63</v>
      </c>
      <c r="M1053" s="42">
        <v>2.63</v>
      </c>
      <c r="N1053" s="42">
        <v>20</v>
      </c>
      <c r="O1053" s="42">
        <f t="shared" si="272"/>
        <v>20</v>
      </c>
      <c r="P1053" s="203">
        <f t="shared" si="273"/>
        <v>20</v>
      </c>
    </row>
    <row r="1054" spans="1:16" ht="15" hidden="1" customHeight="1" outlineLevel="1" x14ac:dyDescent="0.25">
      <c r="A1054" s="39" t="s">
        <v>11</v>
      </c>
      <c r="B1054" s="46" t="s">
        <v>489</v>
      </c>
      <c r="C1054" s="246"/>
      <c r="D1054" s="47" t="s">
        <v>40</v>
      </c>
      <c r="E1054" s="39" t="s">
        <v>14</v>
      </c>
      <c r="F1054" s="39" t="s">
        <v>429</v>
      </c>
      <c r="G1054" s="39" t="s">
        <v>42</v>
      </c>
      <c r="H1054" s="42">
        <v>30.38</v>
      </c>
      <c r="I1054" s="42">
        <v>25.65</v>
      </c>
      <c r="J1054" s="42">
        <v>32</v>
      </c>
      <c r="K1054" s="42">
        <v>32</v>
      </c>
      <c r="L1054" s="42">
        <v>9.9</v>
      </c>
      <c r="M1054" s="42">
        <v>9.9</v>
      </c>
      <c r="N1054" s="42">
        <v>10</v>
      </c>
      <c r="O1054" s="42">
        <f t="shared" si="272"/>
        <v>10</v>
      </c>
      <c r="P1054" s="203">
        <f t="shared" si="273"/>
        <v>10</v>
      </c>
    </row>
    <row r="1055" spans="1:16" ht="15" hidden="1" customHeight="1" outlineLevel="1" x14ac:dyDescent="0.25">
      <c r="A1055" s="39" t="s">
        <v>11</v>
      </c>
      <c r="B1055" s="46" t="s">
        <v>489</v>
      </c>
      <c r="C1055" s="246"/>
      <c r="D1055" s="47" t="s">
        <v>44</v>
      </c>
      <c r="E1055" s="39" t="s">
        <v>14</v>
      </c>
      <c r="F1055" s="39" t="s">
        <v>429</v>
      </c>
      <c r="G1055" s="39" t="s">
        <v>46</v>
      </c>
      <c r="H1055" s="42">
        <v>10.130000000000001</v>
      </c>
      <c r="I1055" s="42">
        <v>8.5500000000000007</v>
      </c>
      <c r="J1055" s="42">
        <v>11</v>
      </c>
      <c r="K1055" s="42">
        <v>11</v>
      </c>
      <c r="L1055" s="42">
        <v>3.3</v>
      </c>
      <c r="M1055" s="42">
        <v>3.3</v>
      </c>
      <c r="N1055" s="42">
        <v>10</v>
      </c>
      <c r="O1055" s="42">
        <f t="shared" si="272"/>
        <v>10</v>
      </c>
      <c r="P1055" s="203">
        <f t="shared" si="273"/>
        <v>10</v>
      </c>
    </row>
    <row r="1056" spans="1:16" ht="15" hidden="1" customHeight="1" outlineLevel="1" x14ac:dyDescent="0.25">
      <c r="A1056" s="39" t="s">
        <v>11</v>
      </c>
      <c r="B1056" s="46" t="s">
        <v>542</v>
      </c>
      <c r="C1056" s="246"/>
      <c r="D1056" s="47" t="s">
        <v>48</v>
      </c>
      <c r="E1056" s="39" t="s">
        <v>14</v>
      </c>
      <c r="F1056" s="39" t="s">
        <v>429</v>
      </c>
      <c r="G1056" s="39" t="s">
        <v>50</v>
      </c>
      <c r="H1056" s="42">
        <v>47.44</v>
      </c>
      <c r="I1056" s="42">
        <v>40.61</v>
      </c>
      <c r="J1056" s="42">
        <v>50</v>
      </c>
      <c r="K1056" s="42">
        <v>50</v>
      </c>
      <c r="L1056" s="42">
        <v>15.65</v>
      </c>
      <c r="M1056" s="42">
        <v>15.65</v>
      </c>
      <c r="N1056" s="42">
        <v>30</v>
      </c>
      <c r="O1056" s="42">
        <f t="shared" si="272"/>
        <v>30</v>
      </c>
      <c r="P1056" s="203">
        <f t="shared" si="273"/>
        <v>30</v>
      </c>
    </row>
    <row r="1057" spans="1:16" ht="15" hidden="1" customHeight="1" outlineLevel="1" thickBot="1" x14ac:dyDescent="0.3">
      <c r="A1057" s="39"/>
      <c r="B1057" s="46"/>
      <c r="C1057" s="246"/>
      <c r="D1057" s="59" t="s">
        <v>444</v>
      </c>
      <c r="E1057" s="45" t="s">
        <v>14</v>
      </c>
      <c r="F1057" s="17" t="s">
        <v>429</v>
      </c>
      <c r="G1057" s="17" t="s">
        <v>445</v>
      </c>
      <c r="H1057" s="130">
        <v>150554.51</v>
      </c>
      <c r="I1057" s="130">
        <v>145628.51999999999</v>
      </c>
      <c r="J1057" s="130">
        <v>147000</v>
      </c>
      <c r="K1057" s="130">
        <v>147000</v>
      </c>
      <c r="L1057" s="130">
        <v>70000</v>
      </c>
      <c r="M1057" s="130">
        <v>56883.33</v>
      </c>
      <c r="N1057" s="130">
        <v>59390</v>
      </c>
      <c r="O1057" s="130">
        <f t="shared" si="272"/>
        <v>59390</v>
      </c>
      <c r="P1057" s="230">
        <f t="shared" si="273"/>
        <v>59390</v>
      </c>
    </row>
    <row r="1058" spans="1:16" ht="15" customHeight="1" collapsed="1" thickBot="1" x14ac:dyDescent="0.3">
      <c r="A1058" s="39" t="s">
        <v>11</v>
      </c>
      <c r="B1058" s="46" t="s">
        <v>546</v>
      </c>
      <c r="C1058" s="246"/>
      <c r="D1058" s="112" t="s">
        <v>593</v>
      </c>
      <c r="E1058" s="76"/>
      <c r="F1058" s="61"/>
      <c r="G1058" s="61" t="s">
        <v>685</v>
      </c>
      <c r="H1058" s="62">
        <f>SUM(H1048:H1057)</f>
        <v>151920.69</v>
      </c>
      <c r="I1058" s="62">
        <f t="shared" ref="I1058:P1058" si="276">SUM(I1048:I1057)</f>
        <v>146782.22</v>
      </c>
      <c r="J1058" s="62">
        <f t="shared" si="276"/>
        <v>148450</v>
      </c>
      <c r="K1058" s="62">
        <f t="shared" si="276"/>
        <v>148450</v>
      </c>
      <c r="L1058" s="62">
        <f t="shared" si="276"/>
        <v>70444.87</v>
      </c>
      <c r="M1058" s="62">
        <f t="shared" si="276"/>
        <v>57328.200000000004</v>
      </c>
      <c r="N1058" s="62">
        <f t="shared" si="276"/>
        <v>60000</v>
      </c>
      <c r="O1058" s="62">
        <f t="shared" si="276"/>
        <v>60000</v>
      </c>
      <c r="P1058" s="63">
        <f t="shared" si="276"/>
        <v>60000</v>
      </c>
    </row>
    <row r="1059" spans="1:16" ht="15" hidden="1" customHeight="1" outlineLevel="1" x14ac:dyDescent="0.25">
      <c r="A1059" s="39" t="s">
        <v>11</v>
      </c>
      <c r="B1059" s="46" t="s">
        <v>546</v>
      </c>
      <c r="C1059" s="246"/>
      <c r="D1059" s="58" t="s">
        <v>13</v>
      </c>
      <c r="E1059" s="40" t="s">
        <v>213</v>
      </c>
      <c r="F1059" s="131">
        <v>68</v>
      </c>
      <c r="G1059" s="40" t="s">
        <v>16</v>
      </c>
      <c r="H1059" s="41">
        <f>16242.46+3786.87</f>
        <v>20029.329999999998</v>
      </c>
      <c r="I1059" s="41">
        <f>20549.2+3784.02</f>
        <v>24333.22</v>
      </c>
      <c r="J1059" s="41">
        <v>14342</v>
      </c>
      <c r="K1059" s="41">
        <v>14342</v>
      </c>
      <c r="L1059" s="41">
        <v>19724.11</v>
      </c>
      <c r="M1059" s="41">
        <v>17522.11</v>
      </c>
      <c r="N1059" s="41">
        <v>43200</v>
      </c>
      <c r="O1059" s="41">
        <f t="shared" si="272"/>
        <v>43200</v>
      </c>
      <c r="P1059" s="201">
        <f t="shared" si="273"/>
        <v>43200</v>
      </c>
    </row>
    <row r="1060" spans="1:16" ht="15" hidden="1" customHeight="1" outlineLevel="1" x14ac:dyDescent="0.25">
      <c r="A1060" s="39"/>
      <c r="B1060" s="46" t="s">
        <v>546</v>
      </c>
      <c r="C1060" s="246"/>
      <c r="D1060" s="47" t="s">
        <v>13</v>
      </c>
      <c r="E1060" s="39" t="s">
        <v>217</v>
      </c>
      <c r="F1060" s="132">
        <v>68</v>
      </c>
      <c r="G1060" s="39" t="s">
        <v>16</v>
      </c>
      <c r="H1060" s="42">
        <f>3057.27+668.25+1656.24</f>
        <v>5381.76</v>
      </c>
      <c r="I1060" s="42">
        <v>1967.55</v>
      </c>
      <c r="J1060" s="42">
        <v>2531</v>
      </c>
      <c r="K1060" s="42">
        <v>2531</v>
      </c>
      <c r="L1060" s="42">
        <v>0</v>
      </c>
      <c r="M1060" s="42">
        <v>3092.08</v>
      </c>
      <c r="N1060" s="42">
        <v>0</v>
      </c>
      <c r="O1060" s="42">
        <f t="shared" si="272"/>
        <v>0</v>
      </c>
      <c r="P1060" s="203">
        <f t="shared" si="273"/>
        <v>0</v>
      </c>
    </row>
    <row r="1061" spans="1:16" hidden="1" outlineLevel="1" collapsed="1" x14ac:dyDescent="0.25">
      <c r="A1061" s="39" t="s">
        <v>11</v>
      </c>
      <c r="B1061" s="46" t="s">
        <v>546</v>
      </c>
      <c r="C1061" s="246"/>
      <c r="D1061" s="47" t="s">
        <v>13</v>
      </c>
      <c r="E1061" s="39" t="s">
        <v>17</v>
      </c>
      <c r="F1061" s="132">
        <v>68</v>
      </c>
      <c r="G1061" s="39" t="s">
        <v>550</v>
      </c>
      <c r="H1061" s="42">
        <v>0</v>
      </c>
      <c r="I1061" s="42">
        <v>0</v>
      </c>
      <c r="J1061" s="42">
        <v>0</v>
      </c>
      <c r="K1061" s="42">
        <v>0</v>
      </c>
      <c r="L1061" s="42">
        <v>0</v>
      </c>
      <c r="M1061" s="42">
        <v>0</v>
      </c>
      <c r="N1061" s="42">
        <v>275</v>
      </c>
      <c r="O1061" s="42">
        <f t="shared" si="272"/>
        <v>275</v>
      </c>
      <c r="P1061" s="203">
        <f t="shared" si="273"/>
        <v>275</v>
      </c>
    </row>
    <row r="1062" spans="1:16" ht="15" hidden="1" customHeight="1" outlineLevel="1" x14ac:dyDescent="0.25">
      <c r="A1062" s="39" t="s">
        <v>11</v>
      </c>
      <c r="B1062" s="46" t="s">
        <v>546</v>
      </c>
      <c r="C1062" s="246"/>
      <c r="D1062" s="47" t="s">
        <v>22</v>
      </c>
      <c r="E1062" s="39" t="s">
        <v>213</v>
      </c>
      <c r="F1062" s="132">
        <v>68</v>
      </c>
      <c r="G1062" s="39" t="s">
        <v>23</v>
      </c>
      <c r="H1062" s="42">
        <f>1230.82+222.4</f>
        <v>1453.22</v>
      </c>
      <c r="I1062" s="42">
        <v>1532.02</v>
      </c>
      <c r="J1062" s="42">
        <v>957</v>
      </c>
      <c r="K1062" s="42">
        <v>681.82</v>
      </c>
      <c r="L1062" s="42">
        <v>986.68000000000006</v>
      </c>
      <c r="M1062" s="42">
        <v>766.48</v>
      </c>
      <c r="N1062" s="42">
        <v>4320</v>
      </c>
      <c r="O1062" s="42">
        <f t="shared" si="272"/>
        <v>4320</v>
      </c>
      <c r="P1062" s="203">
        <f t="shared" si="273"/>
        <v>4320</v>
      </c>
    </row>
    <row r="1063" spans="1:16" ht="15" hidden="1" customHeight="1" outlineLevel="1" x14ac:dyDescent="0.25">
      <c r="A1063" s="39" t="s">
        <v>11</v>
      </c>
      <c r="B1063" s="46" t="s">
        <v>546</v>
      </c>
      <c r="C1063" s="246"/>
      <c r="D1063" s="47" t="s">
        <v>22</v>
      </c>
      <c r="E1063" s="39" t="s">
        <v>217</v>
      </c>
      <c r="F1063" s="132">
        <v>68</v>
      </c>
      <c r="G1063" s="39" t="s">
        <v>23</v>
      </c>
      <c r="H1063" s="42">
        <f>217.22+39.24</f>
        <v>256.45999999999998</v>
      </c>
      <c r="I1063" s="42">
        <v>301.58999999999997</v>
      </c>
      <c r="J1063" s="42">
        <v>169</v>
      </c>
      <c r="K1063" s="42">
        <v>120.34</v>
      </c>
      <c r="L1063" s="42">
        <v>135.28</v>
      </c>
      <c r="M1063" s="42">
        <v>135.28</v>
      </c>
      <c r="N1063" s="42">
        <v>0</v>
      </c>
      <c r="O1063" s="42">
        <f t="shared" si="272"/>
        <v>0</v>
      </c>
      <c r="P1063" s="203">
        <f t="shared" si="273"/>
        <v>0</v>
      </c>
    </row>
    <row r="1064" spans="1:16" ht="15" hidden="1" customHeight="1" outlineLevel="1" x14ac:dyDescent="0.25">
      <c r="A1064" s="39" t="s">
        <v>11</v>
      </c>
      <c r="B1064" s="46" t="s">
        <v>546</v>
      </c>
      <c r="C1064" s="246"/>
      <c r="D1064" s="47" t="s">
        <v>26</v>
      </c>
      <c r="E1064" s="39" t="s">
        <v>213</v>
      </c>
      <c r="F1064" s="132">
        <v>68</v>
      </c>
      <c r="G1064" s="39" t="s">
        <v>205</v>
      </c>
      <c r="H1064" s="42">
        <f>598.43+117.27</f>
        <v>715.69999999999993</v>
      </c>
      <c r="I1064" s="42">
        <v>705.71</v>
      </c>
      <c r="J1064" s="42">
        <v>478</v>
      </c>
      <c r="K1064" s="42">
        <v>867.97</v>
      </c>
      <c r="L1064" s="42">
        <v>985.66</v>
      </c>
      <c r="M1064" s="42">
        <v>985.66</v>
      </c>
      <c r="N1064" s="42">
        <v>0</v>
      </c>
      <c r="O1064" s="42">
        <f t="shared" si="272"/>
        <v>0</v>
      </c>
      <c r="P1064" s="203">
        <f t="shared" si="273"/>
        <v>0</v>
      </c>
    </row>
    <row r="1065" spans="1:16" ht="15" hidden="1" customHeight="1" outlineLevel="1" x14ac:dyDescent="0.25">
      <c r="A1065" s="39" t="s">
        <v>11</v>
      </c>
      <c r="B1065" s="46" t="s">
        <v>546</v>
      </c>
      <c r="C1065" s="246"/>
      <c r="D1065" s="47" t="s">
        <v>26</v>
      </c>
      <c r="E1065" s="39" t="s">
        <v>217</v>
      </c>
      <c r="F1065" s="132">
        <v>68</v>
      </c>
      <c r="G1065" s="39" t="s">
        <v>205</v>
      </c>
      <c r="H1065" s="42">
        <f>105.62+20.7</f>
        <v>126.32000000000001</v>
      </c>
      <c r="I1065" s="42">
        <v>124.56</v>
      </c>
      <c r="J1065" s="42">
        <v>84</v>
      </c>
      <c r="K1065" s="42">
        <v>153.19</v>
      </c>
      <c r="L1065" s="42">
        <v>173.96</v>
      </c>
      <c r="M1065" s="42">
        <v>173.96</v>
      </c>
      <c r="N1065" s="42">
        <v>0</v>
      </c>
      <c r="O1065" s="42">
        <f t="shared" si="272"/>
        <v>0</v>
      </c>
      <c r="P1065" s="203">
        <f t="shared" si="273"/>
        <v>0</v>
      </c>
    </row>
    <row r="1066" spans="1:16" ht="15" hidden="1" customHeight="1" outlineLevel="1" x14ac:dyDescent="0.25">
      <c r="A1066" s="39" t="s">
        <v>11</v>
      </c>
      <c r="B1066" s="46" t="s">
        <v>546</v>
      </c>
      <c r="C1066" s="246"/>
      <c r="D1066" s="47" t="s">
        <v>52</v>
      </c>
      <c r="E1066" s="39" t="s">
        <v>213</v>
      </c>
      <c r="F1066" s="132">
        <v>68</v>
      </c>
      <c r="G1066" s="39" t="s">
        <v>53</v>
      </c>
      <c r="H1066" s="42">
        <f>148.05+15.3</f>
        <v>163.35000000000002</v>
      </c>
      <c r="I1066" s="42">
        <v>193.8</v>
      </c>
      <c r="J1066" s="42">
        <v>204</v>
      </c>
      <c r="K1066" s="42">
        <v>136</v>
      </c>
      <c r="L1066" s="42">
        <v>156</v>
      </c>
      <c r="M1066" s="42">
        <v>136</v>
      </c>
      <c r="N1066" s="42">
        <v>240</v>
      </c>
      <c r="O1066" s="42">
        <f t="shared" si="272"/>
        <v>240</v>
      </c>
      <c r="P1066" s="203">
        <f t="shared" si="273"/>
        <v>240</v>
      </c>
    </row>
    <row r="1067" spans="1:16" ht="15" hidden="1" customHeight="1" outlineLevel="1" x14ac:dyDescent="0.25">
      <c r="A1067" s="39" t="s">
        <v>11</v>
      </c>
      <c r="B1067" s="46" t="s">
        <v>546</v>
      </c>
      <c r="C1067" s="246"/>
      <c r="D1067" s="47" t="s">
        <v>52</v>
      </c>
      <c r="E1067" s="39" t="s">
        <v>217</v>
      </c>
      <c r="F1067" s="132">
        <v>68</v>
      </c>
      <c r="G1067" s="39" t="s">
        <v>53</v>
      </c>
      <c r="H1067" s="42">
        <f>22.95+2.7</f>
        <v>25.65</v>
      </c>
      <c r="I1067" s="42">
        <v>34.200000000000003</v>
      </c>
      <c r="J1067" s="42">
        <v>36</v>
      </c>
      <c r="K1067" s="42">
        <v>24</v>
      </c>
      <c r="L1067" s="42">
        <v>24</v>
      </c>
      <c r="M1067" s="42">
        <v>24</v>
      </c>
      <c r="N1067" s="42">
        <v>0</v>
      </c>
      <c r="O1067" s="42">
        <f t="shared" si="272"/>
        <v>0</v>
      </c>
      <c r="P1067" s="203">
        <f t="shared" si="273"/>
        <v>0</v>
      </c>
    </row>
    <row r="1068" spans="1:16" ht="15" hidden="1" customHeight="1" outlineLevel="1" x14ac:dyDescent="0.25">
      <c r="A1068" s="39" t="s">
        <v>11</v>
      </c>
      <c r="B1068" s="46" t="s">
        <v>546</v>
      </c>
      <c r="C1068" s="246"/>
      <c r="D1068" s="47" t="s">
        <v>29</v>
      </c>
      <c r="E1068" s="39" t="s">
        <v>213</v>
      </c>
      <c r="F1068" s="132">
        <v>68</v>
      </c>
      <c r="G1068" s="39" t="s">
        <v>184</v>
      </c>
      <c r="H1068" s="42">
        <f>238.12+47.32</f>
        <v>285.44</v>
      </c>
      <c r="I1068" s="42">
        <v>304.20999999999998</v>
      </c>
      <c r="J1068" s="42">
        <v>200</v>
      </c>
      <c r="K1068" s="42">
        <v>210.23</v>
      </c>
      <c r="L1068" s="42">
        <v>267.87799999999999</v>
      </c>
      <c r="M1068" s="42">
        <v>237.05</v>
      </c>
      <c r="N1068" s="42">
        <v>605</v>
      </c>
      <c r="O1068" s="42">
        <f t="shared" si="272"/>
        <v>605</v>
      </c>
      <c r="P1068" s="203">
        <f t="shared" si="273"/>
        <v>605</v>
      </c>
    </row>
    <row r="1069" spans="1:16" ht="15" hidden="1" customHeight="1" outlineLevel="1" x14ac:dyDescent="0.25">
      <c r="A1069" s="39" t="s">
        <v>11</v>
      </c>
      <c r="B1069" s="46" t="s">
        <v>546</v>
      </c>
      <c r="C1069" s="246"/>
      <c r="D1069" s="47" t="s">
        <v>29</v>
      </c>
      <c r="E1069" s="39" t="s">
        <v>217</v>
      </c>
      <c r="F1069" s="132">
        <v>68</v>
      </c>
      <c r="G1069" s="39" t="s">
        <v>184</v>
      </c>
      <c r="H1069" s="42">
        <f>42.05+8.35</f>
        <v>50.4</v>
      </c>
      <c r="I1069" s="42">
        <v>53.68</v>
      </c>
      <c r="J1069" s="42">
        <v>36</v>
      </c>
      <c r="K1069" s="42">
        <v>37.119999999999997</v>
      </c>
      <c r="L1069" s="42">
        <v>41.85</v>
      </c>
      <c r="M1069" s="42">
        <v>41.85</v>
      </c>
      <c r="N1069" s="42">
        <v>0</v>
      </c>
      <c r="O1069" s="42">
        <f t="shared" si="272"/>
        <v>0</v>
      </c>
      <c r="P1069" s="203">
        <f t="shared" si="273"/>
        <v>0</v>
      </c>
    </row>
    <row r="1070" spans="1:16" ht="15" hidden="1" customHeight="1" outlineLevel="1" x14ac:dyDescent="0.25">
      <c r="A1070" s="39" t="s">
        <v>11</v>
      </c>
      <c r="B1070" s="46" t="s">
        <v>546</v>
      </c>
      <c r="C1070" s="246"/>
      <c r="D1070" s="47" t="s">
        <v>32</v>
      </c>
      <c r="E1070" s="39" t="s">
        <v>213</v>
      </c>
      <c r="F1070" s="132">
        <v>68</v>
      </c>
      <c r="G1070" s="39" t="s">
        <v>185</v>
      </c>
      <c r="H1070" s="42">
        <f>2540.58+473.38</f>
        <v>3013.96</v>
      </c>
      <c r="I1070" s="42">
        <v>3105.69</v>
      </c>
      <c r="J1070" s="42">
        <v>2007</v>
      </c>
      <c r="K1070" s="42">
        <v>2206.38</v>
      </c>
      <c r="L1070" s="42">
        <v>2514.6600000000003</v>
      </c>
      <c r="M1070" s="42">
        <v>2206.38</v>
      </c>
      <c r="N1070" s="42">
        <v>6050</v>
      </c>
      <c r="O1070" s="42">
        <f t="shared" si="272"/>
        <v>6050</v>
      </c>
      <c r="P1070" s="203">
        <f t="shared" si="273"/>
        <v>6050</v>
      </c>
    </row>
    <row r="1071" spans="1:16" ht="15" hidden="1" customHeight="1" outlineLevel="1" x14ac:dyDescent="0.25">
      <c r="A1071" s="39" t="s">
        <v>11</v>
      </c>
      <c r="B1071" s="46" t="s">
        <v>546</v>
      </c>
      <c r="C1071" s="246"/>
      <c r="D1071" s="47" t="s">
        <v>32</v>
      </c>
      <c r="E1071" s="39" t="s">
        <v>217</v>
      </c>
      <c r="F1071" s="132">
        <v>68</v>
      </c>
      <c r="G1071" s="39" t="s">
        <v>185</v>
      </c>
      <c r="H1071" s="42">
        <f>448.36+83.54</f>
        <v>531.9</v>
      </c>
      <c r="I1071" s="42">
        <v>548.09</v>
      </c>
      <c r="J1071" s="42">
        <v>355</v>
      </c>
      <c r="K1071" s="42">
        <v>389.34</v>
      </c>
      <c r="L1071" s="42">
        <v>439.12</v>
      </c>
      <c r="M1071" s="42">
        <v>439.12</v>
      </c>
      <c r="N1071" s="42">
        <v>0</v>
      </c>
      <c r="O1071" s="42">
        <f t="shared" si="272"/>
        <v>0</v>
      </c>
      <c r="P1071" s="203">
        <f t="shared" si="273"/>
        <v>0</v>
      </c>
    </row>
    <row r="1072" spans="1:16" ht="15" hidden="1" customHeight="1" outlineLevel="1" x14ac:dyDescent="0.25">
      <c r="A1072" s="39" t="s">
        <v>11</v>
      </c>
      <c r="B1072" s="46" t="s">
        <v>546</v>
      </c>
      <c r="C1072" s="246"/>
      <c r="D1072" s="47" t="s">
        <v>36</v>
      </c>
      <c r="E1072" s="39" t="s">
        <v>213</v>
      </c>
      <c r="F1072" s="132">
        <v>68</v>
      </c>
      <c r="G1072" s="39" t="s">
        <v>186</v>
      </c>
      <c r="H1072" s="42">
        <f>144.93+27.02</f>
        <v>171.95000000000002</v>
      </c>
      <c r="I1072" s="42">
        <v>177.24</v>
      </c>
      <c r="J1072" s="42">
        <v>115</v>
      </c>
      <c r="K1072" s="42">
        <v>125.9</v>
      </c>
      <c r="L1072" s="42">
        <v>159.61599999999999</v>
      </c>
      <c r="M1072" s="42">
        <v>142</v>
      </c>
      <c r="N1072" s="42">
        <v>350</v>
      </c>
      <c r="O1072" s="42">
        <f t="shared" si="272"/>
        <v>350</v>
      </c>
      <c r="P1072" s="203">
        <f t="shared" si="273"/>
        <v>350</v>
      </c>
    </row>
    <row r="1073" spans="1:16" ht="15" hidden="1" customHeight="1" outlineLevel="1" x14ac:dyDescent="0.25">
      <c r="A1073" s="39" t="s">
        <v>11</v>
      </c>
      <c r="B1073" s="46" t="s">
        <v>546</v>
      </c>
      <c r="C1073" s="246"/>
      <c r="D1073" s="47" t="s">
        <v>36</v>
      </c>
      <c r="E1073" s="39" t="s">
        <v>217</v>
      </c>
      <c r="F1073" s="132">
        <v>68</v>
      </c>
      <c r="G1073" s="39" t="s">
        <v>186</v>
      </c>
      <c r="H1073" s="42">
        <f>25.57+4.77</f>
        <v>30.34</v>
      </c>
      <c r="I1073" s="42">
        <v>31.37</v>
      </c>
      <c r="J1073" s="42">
        <v>20</v>
      </c>
      <c r="K1073" s="42">
        <v>22.21</v>
      </c>
      <c r="L1073" s="42">
        <v>25.05</v>
      </c>
      <c r="M1073" s="42">
        <v>25.05</v>
      </c>
      <c r="N1073" s="42">
        <v>0</v>
      </c>
      <c r="O1073" s="42">
        <f t="shared" si="272"/>
        <v>0</v>
      </c>
      <c r="P1073" s="203">
        <f t="shared" si="273"/>
        <v>0</v>
      </c>
    </row>
    <row r="1074" spans="1:16" ht="15" hidden="1" customHeight="1" outlineLevel="1" x14ac:dyDescent="0.25">
      <c r="A1074" s="39" t="s">
        <v>11</v>
      </c>
      <c r="B1074" s="46" t="s">
        <v>546</v>
      </c>
      <c r="C1074" s="246"/>
      <c r="D1074" s="47" t="s">
        <v>40</v>
      </c>
      <c r="E1074" s="39" t="s">
        <v>213</v>
      </c>
      <c r="F1074" s="132">
        <v>68</v>
      </c>
      <c r="G1074" s="39" t="s">
        <v>187</v>
      </c>
      <c r="H1074" s="42">
        <f>544.23+101.51</f>
        <v>645.74</v>
      </c>
      <c r="I1074" s="42">
        <v>665.32</v>
      </c>
      <c r="J1074" s="42">
        <v>430</v>
      </c>
      <c r="K1074" s="42">
        <v>472.72</v>
      </c>
      <c r="L1074" s="42">
        <v>599.22</v>
      </c>
      <c r="M1074" s="42">
        <v>533.16</v>
      </c>
      <c r="N1074" s="42">
        <v>1300</v>
      </c>
      <c r="O1074" s="42">
        <f t="shared" si="272"/>
        <v>1300</v>
      </c>
      <c r="P1074" s="203">
        <f t="shared" si="273"/>
        <v>1300</v>
      </c>
    </row>
    <row r="1075" spans="1:16" ht="15" hidden="1" customHeight="1" outlineLevel="1" x14ac:dyDescent="0.25">
      <c r="A1075" s="39" t="s">
        <v>11</v>
      </c>
      <c r="B1075" s="46" t="s">
        <v>546</v>
      </c>
      <c r="C1075" s="246"/>
      <c r="D1075" s="47" t="s">
        <v>40</v>
      </c>
      <c r="E1075" s="39" t="s">
        <v>217</v>
      </c>
      <c r="F1075" s="132">
        <v>68</v>
      </c>
      <c r="G1075" s="39" t="s">
        <v>187</v>
      </c>
      <c r="H1075" s="42">
        <f>96.05+17.9</f>
        <v>113.94999999999999</v>
      </c>
      <c r="I1075" s="42">
        <v>117.4</v>
      </c>
      <c r="J1075" s="42">
        <v>76</v>
      </c>
      <c r="K1075" s="42">
        <v>83.43</v>
      </c>
      <c r="L1075" s="42">
        <v>94.1</v>
      </c>
      <c r="M1075" s="42">
        <v>94.1</v>
      </c>
      <c r="N1075" s="42">
        <v>0</v>
      </c>
      <c r="O1075" s="42">
        <f t="shared" ref="O1075:O1085" si="277">N1075</f>
        <v>0</v>
      </c>
      <c r="P1075" s="203">
        <f t="shared" ref="P1075:P1085" si="278">N1075</f>
        <v>0</v>
      </c>
    </row>
    <row r="1076" spans="1:16" ht="15" hidden="1" customHeight="1" outlineLevel="1" x14ac:dyDescent="0.25">
      <c r="A1076" s="39" t="s">
        <v>11</v>
      </c>
      <c r="B1076" s="46" t="s">
        <v>546</v>
      </c>
      <c r="C1076" s="246"/>
      <c r="D1076" s="47" t="s">
        <v>44</v>
      </c>
      <c r="E1076" s="39" t="s">
        <v>213</v>
      </c>
      <c r="F1076" s="132">
        <v>68</v>
      </c>
      <c r="G1076" s="39" t="s">
        <v>47</v>
      </c>
      <c r="H1076" s="42">
        <f>170+33.78</f>
        <v>203.78</v>
      </c>
      <c r="I1076" s="42">
        <v>217.26</v>
      </c>
      <c r="J1076" s="42">
        <v>143</v>
      </c>
      <c r="K1076" s="42">
        <v>150.18</v>
      </c>
      <c r="L1076" s="42">
        <v>191.36</v>
      </c>
      <c r="M1076" s="42">
        <v>169.34</v>
      </c>
      <c r="N1076" s="42">
        <v>440</v>
      </c>
      <c r="O1076" s="42">
        <f t="shared" si="277"/>
        <v>440</v>
      </c>
      <c r="P1076" s="203">
        <f t="shared" si="278"/>
        <v>440</v>
      </c>
    </row>
    <row r="1077" spans="1:16" ht="15" hidden="1" customHeight="1" outlineLevel="1" x14ac:dyDescent="0.25">
      <c r="A1077" s="39" t="s">
        <v>11</v>
      </c>
      <c r="B1077" s="46" t="s">
        <v>546</v>
      </c>
      <c r="C1077" s="246"/>
      <c r="D1077" s="47" t="s">
        <v>44</v>
      </c>
      <c r="E1077" s="39" t="s">
        <v>217</v>
      </c>
      <c r="F1077" s="132">
        <v>68</v>
      </c>
      <c r="G1077" s="39" t="s">
        <v>47</v>
      </c>
      <c r="H1077" s="42">
        <f>30.05+5.97</f>
        <v>36.020000000000003</v>
      </c>
      <c r="I1077" s="42">
        <v>38.32</v>
      </c>
      <c r="J1077" s="42">
        <v>25</v>
      </c>
      <c r="K1077" s="42">
        <v>26.53</v>
      </c>
      <c r="L1077" s="42">
        <v>29.91</v>
      </c>
      <c r="M1077" s="42">
        <v>29.91</v>
      </c>
      <c r="N1077" s="42">
        <v>0</v>
      </c>
      <c r="O1077" s="42">
        <f t="shared" si="277"/>
        <v>0</v>
      </c>
      <c r="P1077" s="203">
        <f t="shared" si="278"/>
        <v>0</v>
      </c>
    </row>
    <row r="1078" spans="1:16" ht="15" hidden="1" customHeight="1" outlineLevel="1" x14ac:dyDescent="0.25">
      <c r="A1078" s="39" t="s">
        <v>11</v>
      </c>
      <c r="B1078" s="46" t="s">
        <v>546</v>
      </c>
      <c r="C1078" s="246"/>
      <c r="D1078" s="47" t="s">
        <v>48</v>
      </c>
      <c r="E1078" s="39" t="s">
        <v>213</v>
      </c>
      <c r="F1078" s="132">
        <v>68</v>
      </c>
      <c r="G1078" s="39" t="s">
        <v>188</v>
      </c>
      <c r="H1078" s="42">
        <f>861.9+160.61</f>
        <v>1022.51</v>
      </c>
      <c r="I1078" s="42">
        <v>1053.6199999999999</v>
      </c>
      <c r="J1078" s="42">
        <v>681</v>
      </c>
      <c r="K1078" s="42">
        <v>748.55</v>
      </c>
      <c r="L1078" s="42">
        <v>948.85500000000002</v>
      </c>
      <c r="M1078" s="42">
        <v>844.26</v>
      </c>
      <c r="N1078" s="42">
        <v>2055</v>
      </c>
      <c r="O1078" s="42">
        <f t="shared" si="277"/>
        <v>2055</v>
      </c>
      <c r="P1078" s="203">
        <f t="shared" si="278"/>
        <v>2055</v>
      </c>
    </row>
    <row r="1079" spans="1:16" ht="15" hidden="1" customHeight="1" outlineLevel="1" x14ac:dyDescent="0.25">
      <c r="A1079" s="39" t="s">
        <v>11</v>
      </c>
      <c r="B1079" s="46" t="s">
        <v>546</v>
      </c>
      <c r="C1079" s="246"/>
      <c r="D1079" s="47" t="s">
        <v>48</v>
      </c>
      <c r="E1079" s="39" t="s">
        <v>217</v>
      </c>
      <c r="F1079" s="132">
        <v>68</v>
      </c>
      <c r="G1079" s="39" t="s">
        <v>188</v>
      </c>
      <c r="H1079" s="42">
        <f>152.09+28.34</f>
        <v>180.43</v>
      </c>
      <c r="I1079" s="42">
        <v>185.92</v>
      </c>
      <c r="J1079" s="42">
        <v>120</v>
      </c>
      <c r="K1079" s="42">
        <v>132.08000000000001</v>
      </c>
      <c r="L1079" s="42">
        <v>148.97</v>
      </c>
      <c r="M1079" s="42">
        <v>148.97</v>
      </c>
      <c r="N1079" s="42">
        <v>0</v>
      </c>
      <c r="O1079" s="42">
        <f t="shared" si="277"/>
        <v>0</v>
      </c>
      <c r="P1079" s="203">
        <f t="shared" si="278"/>
        <v>0</v>
      </c>
    </row>
    <row r="1080" spans="1:16" ht="15" hidden="1" customHeight="1" outlineLevel="1" x14ac:dyDescent="0.25">
      <c r="A1080" s="39" t="s">
        <v>11</v>
      </c>
      <c r="B1080" s="46" t="s">
        <v>546</v>
      </c>
      <c r="C1080" s="246"/>
      <c r="D1080" s="47" t="s">
        <v>54</v>
      </c>
      <c r="E1080" s="39" t="s">
        <v>213</v>
      </c>
      <c r="F1080" s="132">
        <v>68</v>
      </c>
      <c r="G1080" s="39" t="s">
        <v>430</v>
      </c>
      <c r="H1080" s="42">
        <v>365.98</v>
      </c>
      <c r="I1080" s="42">
        <v>240.27</v>
      </c>
      <c r="J1080" s="42">
        <v>150</v>
      </c>
      <c r="K1080" s="42">
        <v>104.52</v>
      </c>
      <c r="L1080" s="42">
        <v>104.52</v>
      </c>
      <c r="M1080" s="42">
        <v>104.52</v>
      </c>
      <c r="N1080" s="42">
        <v>0</v>
      </c>
      <c r="O1080" s="42">
        <f t="shared" si="277"/>
        <v>0</v>
      </c>
      <c r="P1080" s="203">
        <f t="shared" si="278"/>
        <v>0</v>
      </c>
    </row>
    <row r="1081" spans="1:16" ht="15" hidden="1" customHeight="1" outlineLevel="1" x14ac:dyDescent="0.25">
      <c r="A1081" s="39" t="s">
        <v>11</v>
      </c>
      <c r="B1081" s="46" t="s">
        <v>546</v>
      </c>
      <c r="C1081" s="246"/>
      <c r="D1081" s="47" t="s">
        <v>56</v>
      </c>
      <c r="E1081" s="39" t="s">
        <v>17</v>
      </c>
      <c r="F1081" s="132">
        <v>68</v>
      </c>
      <c r="G1081" s="39" t="s">
        <v>433</v>
      </c>
      <c r="H1081" s="42">
        <v>137.57</v>
      </c>
      <c r="I1081" s="42">
        <v>762.05</v>
      </c>
      <c r="J1081" s="42">
        <v>300</v>
      </c>
      <c r="K1081" s="42">
        <v>326.60000000000002</v>
      </c>
      <c r="L1081" s="42">
        <v>350</v>
      </c>
      <c r="M1081" s="42">
        <v>318.86</v>
      </c>
      <c r="N1081" s="42">
        <v>400</v>
      </c>
      <c r="O1081" s="42">
        <f t="shared" si="277"/>
        <v>400</v>
      </c>
      <c r="P1081" s="203">
        <f t="shared" si="278"/>
        <v>400</v>
      </c>
    </row>
    <row r="1082" spans="1:16" ht="15" hidden="1" customHeight="1" outlineLevel="1" x14ac:dyDescent="0.25">
      <c r="A1082" s="39" t="s">
        <v>11</v>
      </c>
      <c r="B1082" s="46" t="s">
        <v>546</v>
      </c>
      <c r="C1082" s="246"/>
      <c r="D1082" s="47" t="s">
        <v>56</v>
      </c>
      <c r="E1082" s="39" t="s">
        <v>17</v>
      </c>
      <c r="F1082" s="132">
        <v>68</v>
      </c>
      <c r="G1082" s="39" t="s">
        <v>434</v>
      </c>
      <c r="H1082" s="42">
        <v>1150.3399999999999</v>
      </c>
      <c r="I1082" s="42">
        <v>2455.33</v>
      </c>
      <c r="J1082" s="42">
        <v>1230</v>
      </c>
      <c r="K1082" s="42">
        <v>1230</v>
      </c>
      <c r="L1082" s="42">
        <v>1230</v>
      </c>
      <c r="M1082" s="42">
        <v>1712.93</v>
      </c>
      <c r="N1082" s="42">
        <v>1300</v>
      </c>
      <c r="O1082" s="42">
        <f t="shared" si="277"/>
        <v>1300</v>
      </c>
      <c r="P1082" s="203">
        <f t="shared" si="278"/>
        <v>1300</v>
      </c>
    </row>
    <row r="1083" spans="1:16" ht="15" hidden="1" customHeight="1" outlineLevel="1" x14ac:dyDescent="0.25">
      <c r="A1083" s="39" t="s">
        <v>11</v>
      </c>
      <c r="B1083" s="46" t="s">
        <v>546</v>
      </c>
      <c r="C1083" s="246"/>
      <c r="D1083" s="47" t="s">
        <v>74</v>
      </c>
      <c r="E1083" s="39" t="s">
        <v>213</v>
      </c>
      <c r="F1083" s="132">
        <v>68</v>
      </c>
      <c r="G1083" s="39" t="s">
        <v>437</v>
      </c>
      <c r="H1083" s="42">
        <v>119.46</v>
      </c>
      <c r="I1083" s="42">
        <v>139.49</v>
      </c>
      <c r="J1083" s="42">
        <v>80</v>
      </c>
      <c r="K1083" s="42">
        <v>122.79</v>
      </c>
      <c r="L1083" s="42">
        <v>80</v>
      </c>
      <c r="M1083" s="42">
        <v>138.09</v>
      </c>
      <c r="N1083" s="42">
        <v>100</v>
      </c>
      <c r="O1083" s="42">
        <f t="shared" si="277"/>
        <v>100</v>
      </c>
      <c r="P1083" s="203">
        <f t="shared" si="278"/>
        <v>100</v>
      </c>
    </row>
    <row r="1084" spans="1:16" ht="15" hidden="1" customHeight="1" outlineLevel="1" x14ac:dyDescent="0.25">
      <c r="A1084" s="39" t="s">
        <v>11</v>
      </c>
      <c r="B1084" s="46" t="s">
        <v>546</v>
      </c>
      <c r="C1084" s="246"/>
      <c r="D1084" s="47" t="s">
        <v>74</v>
      </c>
      <c r="E1084" s="39" t="s">
        <v>217</v>
      </c>
      <c r="F1084" s="132">
        <v>68</v>
      </c>
      <c r="G1084" s="39" t="s">
        <v>437</v>
      </c>
      <c r="H1084" s="42">
        <v>21.07</v>
      </c>
      <c r="I1084" s="42">
        <v>24.6</v>
      </c>
      <c r="J1084" s="42">
        <v>20</v>
      </c>
      <c r="K1084" s="42">
        <v>20</v>
      </c>
      <c r="L1084" s="42">
        <v>0</v>
      </c>
      <c r="M1084" s="42">
        <v>24.39</v>
      </c>
      <c r="N1084" s="42">
        <v>0</v>
      </c>
      <c r="O1084" s="42">
        <f t="shared" si="277"/>
        <v>0</v>
      </c>
      <c r="P1084" s="203">
        <f t="shared" si="278"/>
        <v>0</v>
      </c>
    </row>
    <row r="1085" spans="1:16" ht="15" hidden="1" customHeight="1" outlineLevel="1" x14ac:dyDescent="0.25">
      <c r="A1085" s="39"/>
      <c r="B1085" s="46" t="s">
        <v>495</v>
      </c>
      <c r="C1085" s="246"/>
      <c r="D1085" s="47" t="s">
        <v>74</v>
      </c>
      <c r="E1085" s="39" t="s">
        <v>17</v>
      </c>
      <c r="F1085" s="132">
        <v>68</v>
      </c>
      <c r="G1085" s="39" t="s">
        <v>438</v>
      </c>
      <c r="H1085" s="42">
        <v>22.92</v>
      </c>
      <c r="I1085" s="42">
        <v>138.24</v>
      </c>
      <c r="J1085" s="42">
        <v>0</v>
      </c>
      <c r="K1085" s="42">
        <v>0</v>
      </c>
      <c r="L1085" s="42">
        <v>0</v>
      </c>
      <c r="M1085" s="42">
        <v>0</v>
      </c>
      <c r="N1085" s="42">
        <v>0</v>
      </c>
      <c r="O1085" s="42">
        <f t="shared" si="277"/>
        <v>0</v>
      </c>
      <c r="P1085" s="203">
        <f t="shared" si="278"/>
        <v>0</v>
      </c>
    </row>
    <row r="1086" spans="1:16" ht="15" hidden="1" customHeight="1" outlineLevel="1" x14ac:dyDescent="0.25">
      <c r="A1086" s="39" t="s">
        <v>11</v>
      </c>
      <c r="B1086" s="46" t="s">
        <v>546</v>
      </c>
      <c r="C1086" s="246"/>
      <c r="D1086" s="47" t="s">
        <v>88</v>
      </c>
      <c r="E1086" s="39" t="s">
        <v>17</v>
      </c>
      <c r="F1086" s="133" t="s">
        <v>428</v>
      </c>
      <c r="G1086" s="39" t="s">
        <v>92</v>
      </c>
      <c r="H1086" s="42">
        <v>0</v>
      </c>
      <c r="I1086" s="42">
        <v>0</v>
      </c>
      <c r="J1086" s="42">
        <v>0</v>
      </c>
      <c r="K1086" s="42">
        <v>0</v>
      </c>
      <c r="L1086" s="42">
        <v>0</v>
      </c>
      <c r="M1086" s="42">
        <v>0</v>
      </c>
      <c r="N1086" s="19">
        <v>540</v>
      </c>
      <c r="O1086" s="42">
        <v>0</v>
      </c>
      <c r="P1086" s="203">
        <v>0</v>
      </c>
    </row>
    <row r="1087" spans="1:16" ht="15" hidden="1" customHeight="1" outlineLevel="1" x14ac:dyDescent="0.25">
      <c r="A1087" s="39" t="s">
        <v>11</v>
      </c>
      <c r="B1087" s="46" t="s">
        <v>546</v>
      </c>
      <c r="C1087" s="246"/>
      <c r="D1087" s="47" t="s">
        <v>88</v>
      </c>
      <c r="E1087" s="39" t="s">
        <v>213</v>
      </c>
      <c r="F1087" s="132">
        <v>68</v>
      </c>
      <c r="G1087" s="39" t="s">
        <v>200</v>
      </c>
      <c r="H1087" s="42">
        <v>315.01</v>
      </c>
      <c r="I1087" s="42">
        <v>385.27</v>
      </c>
      <c r="J1087" s="42">
        <v>300</v>
      </c>
      <c r="K1087" s="42">
        <v>300</v>
      </c>
      <c r="L1087" s="42">
        <v>300</v>
      </c>
      <c r="M1087" s="42">
        <v>388.5</v>
      </c>
      <c r="N1087" s="42">
        <v>320</v>
      </c>
      <c r="O1087" s="42">
        <f>N1087</f>
        <v>320</v>
      </c>
      <c r="P1087" s="203">
        <f>N1087</f>
        <v>320</v>
      </c>
    </row>
    <row r="1088" spans="1:16" ht="15" hidden="1" customHeight="1" outlineLevel="1" x14ac:dyDescent="0.25">
      <c r="A1088" s="39" t="s">
        <v>11</v>
      </c>
      <c r="B1088" s="46" t="s">
        <v>546</v>
      </c>
      <c r="C1088" s="246"/>
      <c r="D1088" s="47" t="s">
        <v>88</v>
      </c>
      <c r="E1088" s="39" t="s">
        <v>213</v>
      </c>
      <c r="F1088" s="132">
        <v>68</v>
      </c>
      <c r="G1088" s="39" t="s">
        <v>92</v>
      </c>
      <c r="H1088" s="42">
        <v>424.73</v>
      </c>
      <c r="I1088" s="42">
        <v>561.48</v>
      </c>
      <c r="J1088" s="42">
        <v>800</v>
      </c>
      <c r="K1088" s="42">
        <v>750</v>
      </c>
      <c r="L1088" s="42">
        <v>0</v>
      </c>
      <c r="M1088" s="42">
        <v>1147.77</v>
      </c>
      <c r="N1088" s="42">
        <v>500</v>
      </c>
      <c r="O1088" s="42">
        <f>N1088</f>
        <v>500</v>
      </c>
      <c r="P1088" s="203">
        <f>N1088</f>
        <v>500</v>
      </c>
    </row>
    <row r="1089" spans="1:18" ht="15" hidden="1" customHeight="1" outlineLevel="1" x14ac:dyDescent="0.25">
      <c r="A1089" s="39" t="s">
        <v>11</v>
      </c>
      <c r="B1089" s="46" t="s">
        <v>546</v>
      </c>
      <c r="C1089" s="246"/>
      <c r="D1089" s="47" t="s">
        <v>88</v>
      </c>
      <c r="E1089" s="39" t="s">
        <v>217</v>
      </c>
      <c r="F1089" s="132">
        <v>68</v>
      </c>
      <c r="G1089" s="39" t="s">
        <v>200</v>
      </c>
      <c r="H1089" s="42">
        <v>7.11</v>
      </c>
      <c r="I1089" s="42">
        <v>20.55</v>
      </c>
      <c r="J1089" s="42">
        <v>20</v>
      </c>
      <c r="K1089" s="42">
        <v>0</v>
      </c>
      <c r="L1089" s="42">
        <v>0</v>
      </c>
      <c r="M1089" s="42">
        <v>0</v>
      </c>
      <c r="N1089" s="42">
        <v>0</v>
      </c>
      <c r="O1089" s="42">
        <f>N1089</f>
        <v>0</v>
      </c>
      <c r="P1089" s="203">
        <f>N1089</f>
        <v>0</v>
      </c>
    </row>
    <row r="1090" spans="1:18" ht="15" hidden="1" customHeight="1" outlineLevel="1" x14ac:dyDescent="0.25">
      <c r="A1090" s="39"/>
      <c r="B1090" s="46" t="s">
        <v>495</v>
      </c>
      <c r="C1090" s="246"/>
      <c r="D1090" s="47" t="s">
        <v>103</v>
      </c>
      <c r="E1090" s="39" t="s">
        <v>17</v>
      </c>
      <c r="F1090" s="132">
        <v>68</v>
      </c>
      <c r="G1090" s="39" t="s">
        <v>104</v>
      </c>
      <c r="H1090" s="42">
        <v>150</v>
      </c>
      <c r="I1090" s="42">
        <v>150</v>
      </c>
      <c r="J1090" s="42">
        <v>150</v>
      </c>
      <c r="K1090" s="42">
        <v>15.56</v>
      </c>
      <c r="L1090" s="42">
        <v>30</v>
      </c>
      <c r="M1090" s="42">
        <v>15.56</v>
      </c>
      <c r="N1090" s="42">
        <v>200</v>
      </c>
      <c r="O1090" s="42">
        <f>N1090</f>
        <v>200</v>
      </c>
      <c r="P1090" s="203">
        <f>N1090</f>
        <v>200</v>
      </c>
    </row>
    <row r="1091" spans="1:18" ht="15" hidden="1" customHeight="1" outlineLevel="1" x14ac:dyDescent="0.25">
      <c r="A1091" s="39" t="s">
        <v>11</v>
      </c>
      <c r="B1091" s="46" t="s">
        <v>496</v>
      </c>
      <c r="C1091" s="246"/>
      <c r="D1091" s="47" t="s">
        <v>116</v>
      </c>
      <c r="E1091" s="39" t="s">
        <v>17</v>
      </c>
      <c r="F1091" s="133" t="s">
        <v>428</v>
      </c>
      <c r="G1091" s="39" t="s">
        <v>553</v>
      </c>
      <c r="H1091" s="42">
        <v>0</v>
      </c>
      <c r="I1091" s="42">
        <v>0</v>
      </c>
      <c r="J1091" s="42">
        <v>0</v>
      </c>
      <c r="K1091" s="42">
        <v>0</v>
      </c>
      <c r="L1091" s="42">
        <v>0</v>
      </c>
      <c r="M1091" s="42">
        <v>0</v>
      </c>
      <c r="N1091" s="19">
        <v>975</v>
      </c>
      <c r="O1091" s="42">
        <v>0</v>
      </c>
      <c r="P1091" s="203">
        <v>0</v>
      </c>
    </row>
    <row r="1092" spans="1:18" ht="15" hidden="1" customHeight="1" outlineLevel="1" x14ac:dyDescent="0.25">
      <c r="A1092" s="39" t="s">
        <v>11</v>
      </c>
      <c r="B1092" s="46" t="s">
        <v>546</v>
      </c>
      <c r="C1092" s="246"/>
      <c r="D1092" s="47" t="s">
        <v>116</v>
      </c>
      <c r="E1092" s="39" t="s">
        <v>17</v>
      </c>
      <c r="F1092" s="133" t="s">
        <v>428</v>
      </c>
      <c r="G1092" s="39" t="s">
        <v>117</v>
      </c>
      <c r="H1092" s="42">
        <v>217.08</v>
      </c>
      <c r="I1092" s="42">
        <v>0</v>
      </c>
      <c r="J1092" s="42">
        <v>100</v>
      </c>
      <c r="K1092" s="42">
        <v>0</v>
      </c>
      <c r="L1092" s="42">
        <v>0</v>
      </c>
      <c r="M1092" s="42">
        <v>0</v>
      </c>
      <c r="N1092" s="42">
        <v>0</v>
      </c>
      <c r="O1092" s="42">
        <f t="shared" ref="O1092:O1103" si="279">N1092</f>
        <v>0</v>
      </c>
      <c r="P1092" s="203">
        <f t="shared" ref="P1092:P1103" si="280">N1092</f>
        <v>0</v>
      </c>
    </row>
    <row r="1093" spans="1:18" ht="15" hidden="1" customHeight="1" outlineLevel="1" x14ac:dyDescent="0.25">
      <c r="A1093" s="39" t="s">
        <v>11</v>
      </c>
      <c r="B1093" s="46" t="s">
        <v>546</v>
      </c>
      <c r="C1093" s="246"/>
      <c r="D1093" s="47" t="s">
        <v>128</v>
      </c>
      <c r="E1093" s="39" t="s">
        <v>17</v>
      </c>
      <c r="F1093" s="132">
        <v>68</v>
      </c>
      <c r="G1093" s="39" t="s">
        <v>246</v>
      </c>
      <c r="H1093" s="42">
        <v>92</v>
      </c>
      <c r="I1093" s="42">
        <v>0</v>
      </c>
      <c r="J1093" s="42">
        <v>50</v>
      </c>
      <c r="K1093" s="42">
        <v>5.04</v>
      </c>
      <c r="L1093" s="42">
        <v>10</v>
      </c>
      <c r="M1093" s="42">
        <v>5.04</v>
      </c>
      <c r="N1093" s="42">
        <v>54</v>
      </c>
      <c r="O1093" s="42">
        <f t="shared" si="279"/>
        <v>54</v>
      </c>
      <c r="P1093" s="203">
        <f t="shared" si="280"/>
        <v>54</v>
      </c>
    </row>
    <row r="1094" spans="1:18" ht="15" hidden="1" customHeight="1" outlineLevel="1" x14ac:dyDescent="0.25">
      <c r="A1094" s="39" t="s">
        <v>11</v>
      </c>
      <c r="B1094" s="46" t="s">
        <v>546</v>
      </c>
      <c r="C1094" s="246"/>
      <c r="D1094" s="47" t="s">
        <v>135</v>
      </c>
      <c r="E1094" s="39" t="s">
        <v>17</v>
      </c>
      <c r="F1094" s="132">
        <v>68</v>
      </c>
      <c r="G1094" s="39" t="s">
        <v>136</v>
      </c>
      <c r="H1094" s="42">
        <v>296.2</v>
      </c>
      <c r="I1094" s="42">
        <v>557.07000000000005</v>
      </c>
      <c r="J1094" s="42">
        <v>300</v>
      </c>
      <c r="K1094" s="42">
        <v>123.5</v>
      </c>
      <c r="L1094" s="42">
        <v>100</v>
      </c>
      <c r="M1094" s="42">
        <v>123.5</v>
      </c>
      <c r="N1094" s="42">
        <v>100</v>
      </c>
      <c r="O1094" s="42">
        <f t="shared" si="279"/>
        <v>100</v>
      </c>
      <c r="P1094" s="203">
        <f t="shared" si="280"/>
        <v>100</v>
      </c>
    </row>
    <row r="1095" spans="1:18" ht="15" hidden="1" customHeight="1" outlineLevel="1" x14ac:dyDescent="0.25">
      <c r="A1095" s="39" t="s">
        <v>11</v>
      </c>
      <c r="B1095" s="46" t="s">
        <v>546</v>
      </c>
      <c r="C1095" s="246"/>
      <c r="D1095" s="47" t="s">
        <v>151</v>
      </c>
      <c r="E1095" s="39" t="s">
        <v>213</v>
      </c>
      <c r="F1095" s="132">
        <v>68</v>
      </c>
      <c r="G1095" s="39" t="s">
        <v>152</v>
      </c>
      <c r="H1095" s="42">
        <v>981.01</v>
      </c>
      <c r="I1095" s="42">
        <v>973.43</v>
      </c>
      <c r="J1095" s="42">
        <v>608</v>
      </c>
      <c r="K1095" s="42">
        <v>658</v>
      </c>
      <c r="L1095" s="42">
        <v>1200</v>
      </c>
      <c r="M1095" s="42">
        <v>1040.93</v>
      </c>
      <c r="N1095" s="42">
        <v>2244</v>
      </c>
      <c r="O1095" s="42">
        <f t="shared" si="279"/>
        <v>2244</v>
      </c>
      <c r="P1095" s="203">
        <f t="shared" si="280"/>
        <v>2244</v>
      </c>
    </row>
    <row r="1096" spans="1:18" ht="15" hidden="1" customHeight="1" outlineLevel="1" x14ac:dyDescent="0.25">
      <c r="A1096" s="39" t="s">
        <v>11</v>
      </c>
      <c r="B1096" s="46" t="s">
        <v>546</v>
      </c>
      <c r="C1096" s="246"/>
      <c r="D1096" s="47" t="s">
        <v>151</v>
      </c>
      <c r="E1096" s="39" t="s">
        <v>217</v>
      </c>
      <c r="F1096" s="132">
        <v>68</v>
      </c>
      <c r="G1096" s="39" t="s">
        <v>152</v>
      </c>
      <c r="H1096" s="42">
        <v>173.03</v>
      </c>
      <c r="I1096" s="42">
        <v>171.77</v>
      </c>
      <c r="J1096" s="42">
        <v>108</v>
      </c>
      <c r="K1096" s="42">
        <v>108</v>
      </c>
      <c r="L1096" s="42">
        <v>220.34</v>
      </c>
      <c r="M1096" s="42">
        <v>138.74</v>
      </c>
      <c r="N1096" s="42">
        <v>0</v>
      </c>
      <c r="O1096" s="42">
        <f t="shared" si="279"/>
        <v>0</v>
      </c>
      <c r="P1096" s="203">
        <f t="shared" si="280"/>
        <v>0</v>
      </c>
    </row>
    <row r="1097" spans="1:18" ht="15" hidden="1" customHeight="1" outlineLevel="1" x14ac:dyDescent="0.25">
      <c r="A1097" s="39" t="s">
        <v>11</v>
      </c>
      <c r="B1097" s="46" t="s">
        <v>546</v>
      </c>
      <c r="C1097" s="246"/>
      <c r="D1097" s="47" t="s">
        <v>155</v>
      </c>
      <c r="E1097" s="39" t="s">
        <v>17</v>
      </c>
      <c r="F1097" s="132">
        <v>68</v>
      </c>
      <c r="G1097" s="39" t="s">
        <v>156</v>
      </c>
      <c r="H1097" s="42">
        <v>288.41000000000003</v>
      </c>
      <c r="I1097" s="42">
        <v>319.81</v>
      </c>
      <c r="J1097" s="42">
        <v>190</v>
      </c>
      <c r="K1097" s="42">
        <v>190</v>
      </c>
      <c r="L1097" s="42">
        <v>245.99</v>
      </c>
      <c r="M1097" s="42">
        <v>223.97</v>
      </c>
      <c r="N1097" s="42">
        <v>432</v>
      </c>
      <c r="O1097" s="42">
        <f t="shared" si="279"/>
        <v>432</v>
      </c>
      <c r="P1097" s="203">
        <f t="shared" si="280"/>
        <v>432</v>
      </c>
    </row>
    <row r="1098" spans="1:18" ht="15" hidden="1" customHeight="1" outlineLevel="1" x14ac:dyDescent="0.25">
      <c r="A1098" s="39" t="s">
        <v>11</v>
      </c>
      <c r="B1098" s="46" t="s">
        <v>546</v>
      </c>
      <c r="C1098" s="246"/>
      <c r="D1098" s="47" t="s">
        <v>26</v>
      </c>
      <c r="E1098" s="39" t="s">
        <v>17</v>
      </c>
      <c r="F1098" s="132">
        <v>68.099999999999994</v>
      </c>
      <c r="G1098" s="39" t="s">
        <v>205</v>
      </c>
      <c r="H1098" s="42">
        <v>0</v>
      </c>
      <c r="I1098" s="42">
        <v>90.4</v>
      </c>
      <c r="J1098" s="42">
        <v>0</v>
      </c>
      <c r="K1098" s="42">
        <v>0</v>
      </c>
      <c r="L1098" s="42">
        <v>0</v>
      </c>
      <c r="M1098" s="42">
        <v>0</v>
      </c>
      <c r="N1098" s="42">
        <v>0</v>
      </c>
      <c r="O1098" s="42">
        <f t="shared" si="279"/>
        <v>0</v>
      </c>
      <c r="P1098" s="203">
        <f t="shared" si="280"/>
        <v>0</v>
      </c>
    </row>
    <row r="1099" spans="1:18" ht="15" hidden="1" customHeight="1" outlineLevel="1" thickBot="1" x14ac:dyDescent="0.3">
      <c r="A1099" s="39"/>
      <c r="B1099" s="46"/>
      <c r="C1099" s="246"/>
      <c r="D1099" s="59" t="s">
        <v>151</v>
      </c>
      <c r="E1099" s="45" t="s">
        <v>213</v>
      </c>
      <c r="F1099" s="134">
        <v>68.099999999999994</v>
      </c>
      <c r="G1099" s="45" t="s">
        <v>152</v>
      </c>
      <c r="H1099" s="64">
        <v>981.01</v>
      </c>
      <c r="I1099" s="64">
        <v>1300</v>
      </c>
      <c r="J1099" s="64">
        <v>0</v>
      </c>
      <c r="K1099" s="64">
        <v>0</v>
      </c>
      <c r="L1099" s="64">
        <v>0</v>
      </c>
      <c r="M1099" s="64">
        <v>0</v>
      </c>
      <c r="N1099" s="64">
        <v>0</v>
      </c>
      <c r="O1099" s="64">
        <f t="shared" si="279"/>
        <v>0</v>
      </c>
      <c r="P1099" s="205">
        <f t="shared" si="280"/>
        <v>0</v>
      </c>
    </row>
    <row r="1100" spans="1:18" ht="15" customHeight="1" collapsed="1" thickBot="1" x14ac:dyDescent="0.3">
      <c r="A1100" s="39" t="s">
        <v>11</v>
      </c>
      <c r="B1100" s="46" t="s">
        <v>543</v>
      </c>
      <c r="C1100" s="246"/>
      <c r="D1100" s="112" t="s">
        <v>593</v>
      </c>
      <c r="E1100" s="61"/>
      <c r="F1100" s="135"/>
      <c r="G1100" s="61" t="s">
        <v>686</v>
      </c>
      <c r="H1100" s="62">
        <v>39200.129999999997</v>
      </c>
      <c r="I1100" s="62">
        <v>49074.83</v>
      </c>
      <c r="J1100" s="62">
        <f t="shared" ref="J1100:P1100" si="281">SUM(J1059:J1099)</f>
        <v>27415</v>
      </c>
      <c r="K1100" s="62">
        <f t="shared" si="281"/>
        <v>27415.000000000004</v>
      </c>
      <c r="L1100" s="62">
        <f t="shared" si="281"/>
        <v>31517.129000000001</v>
      </c>
      <c r="M1100" s="62">
        <f t="shared" si="281"/>
        <v>33129.56</v>
      </c>
      <c r="N1100" s="62">
        <f>SUM(N1059:N1099)</f>
        <v>66000</v>
      </c>
      <c r="O1100" s="62">
        <f t="shared" si="281"/>
        <v>64485</v>
      </c>
      <c r="P1100" s="63">
        <f t="shared" si="281"/>
        <v>64485</v>
      </c>
    </row>
    <row r="1101" spans="1:18" ht="15" customHeight="1" thickBot="1" x14ac:dyDescent="0.3">
      <c r="A1101" s="39" t="s">
        <v>11</v>
      </c>
      <c r="B1101" s="46" t="s">
        <v>543</v>
      </c>
      <c r="C1101" s="246"/>
      <c r="D1101" s="102" t="s">
        <v>593</v>
      </c>
      <c r="E1101" s="76" t="s">
        <v>14</v>
      </c>
      <c r="F1101" s="76" t="s">
        <v>11</v>
      </c>
      <c r="G1101" s="76" t="s">
        <v>439</v>
      </c>
      <c r="H1101" s="124">
        <v>12642.43</v>
      </c>
      <c r="I1101" s="124">
        <v>10283</v>
      </c>
      <c r="J1101" s="124">
        <v>5000</v>
      </c>
      <c r="K1101" s="124">
        <v>5000</v>
      </c>
      <c r="L1101" s="124">
        <v>0</v>
      </c>
      <c r="M1101" s="124">
        <v>0</v>
      </c>
      <c r="N1101" s="124">
        <v>0</v>
      </c>
      <c r="O1101" s="124">
        <f t="shared" si="279"/>
        <v>0</v>
      </c>
      <c r="P1101" s="125">
        <f t="shared" si="280"/>
        <v>0</v>
      </c>
    </row>
    <row r="1102" spans="1:18" ht="15" customHeight="1" thickBot="1" x14ac:dyDescent="0.3">
      <c r="A1102" s="39" t="s">
        <v>11</v>
      </c>
      <c r="B1102" s="46" t="s">
        <v>539</v>
      </c>
      <c r="C1102" s="246"/>
      <c r="D1102" s="136" t="s">
        <v>593</v>
      </c>
      <c r="E1102" s="67" t="s">
        <v>14</v>
      </c>
      <c r="F1102" s="67" t="s">
        <v>11</v>
      </c>
      <c r="G1102" s="67" t="s">
        <v>440</v>
      </c>
      <c r="H1102" s="88">
        <v>0</v>
      </c>
      <c r="I1102" s="88">
        <v>0</v>
      </c>
      <c r="J1102" s="88">
        <v>2500</v>
      </c>
      <c r="K1102" s="88">
        <v>2500</v>
      </c>
      <c r="L1102" s="88">
        <v>0</v>
      </c>
      <c r="M1102" s="88">
        <v>0</v>
      </c>
      <c r="N1102" s="88">
        <v>0</v>
      </c>
      <c r="O1102" s="88">
        <f t="shared" si="279"/>
        <v>0</v>
      </c>
      <c r="P1102" s="137">
        <f t="shared" si="280"/>
        <v>0</v>
      </c>
    </row>
    <row r="1103" spans="1:18" ht="15.75" collapsed="1" thickBot="1" x14ac:dyDescent="0.3">
      <c r="C1103" s="247"/>
      <c r="D1103" s="112" t="s">
        <v>593</v>
      </c>
      <c r="E1103" s="61" t="s">
        <v>14</v>
      </c>
      <c r="F1103" s="61" t="s">
        <v>11</v>
      </c>
      <c r="G1103" s="61" t="s">
        <v>441</v>
      </c>
      <c r="H1103" s="62">
        <v>473.4</v>
      </c>
      <c r="I1103" s="62">
        <v>608.16999999999996</v>
      </c>
      <c r="J1103" s="62">
        <v>0</v>
      </c>
      <c r="K1103" s="62">
        <v>0</v>
      </c>
      <c r="L1103" s="62">
        <v>591.19000000000005</v>
      </c>
      <c r="M1103" s="62">
        <v>591.19000000000005</v>
      </c>
      <c r="N1103" s="62">
        <v>0</v>
      </c>
      <c r="O1103" s="62">
        <f t="shared" si="279"/>
        <v>0</v>
      </c>
      <c r="P1103" s="63">
        <f t="shared" si="280"/>
        <v>0</v>
      </c>
      <c r="R1103" s="78"/>
    </row>
    <row r="1104" spans="1:18" ht="24" customHeight="1" thickBot="1" x14ac:dyDescent="0.3">
      <c r="C1104" s="235" t="s">
        <v>740</v>
      </c>
      <c r="D1104" s="236"/>
      <c r="E1104" s="236"/>
      <c r="F1104" s="236"/>
      <c r="G1104" s="236"/>
      <c r="H1104" s="180">
        <f>H1009+H982+H959+H924+H922+H918+H874+H869+H747+H746+H729+H726+H623+H600+H596+H578+H545+H536+H533+H494+H401+H391+H369+H331+H330+H284+H254+H2</f>
        <v>2072437.9</v>
      </c>
      <c r="I1104" s="180">
        <f>I1009+I982+I959+I924+I922+I918+I874+I869+I747+I746+I729+I726+I623+I600+I596+I578+I545+I536+I533+I494+I401+I391+I369+I331+I330+I284+I254+I2+I868</f>
        <v>2477933.65</v>
      </c>
      <c r="J1104" s="180">
        <f t="shared" ref="J1104:P1104" si="282">J1009+J982+J959+J924+J922+J918+J874+J869+J747+J746+J729+J726+J623+J600+J596+J578+J545+J536+J533+J494+J401+J391+J369+J331+J330+J284+J254+J2</f>
        <v>2565828</v>
      </c>
      <c r="K1104" s="180">
        <f t="shared" si="282"/>
        <v>2638226.6</v>
      </c>
      <c r="L1104" s="180">
        <f t="shared" si="282"/>
        <v>2404984.545726914</v>
      </c>
      <c r="M1104" s="180">
        <f t="shared" si="282"/>
        <v>1829406.68</v>
      </c>
      <c r="N1104" s="180">
        <f t="shared" si="282"/>
        <v>2851774.37</v>
      </c>
      <c r="O1104" s="180">
        <f t="shared" si="282"/>
        <v>2858049.79</v>
      </c>
      <c r="P1104" s="180">
        <f t="shared" si="282"/>
        <v>2813637.79</v>
      </c>
    </row>
    <row r="1105" spans="3:18" ht="24" customHeight="1" x14ac:dyDescent="0.25">
      <c r="C1105" s="197"/>
      <c r="D1105" s="197"/>
      <c r="E1105" s="197"/>
      <c r="F1105" s="197"/>
      <c r="G1105" s="197"/>
      <c r="H1105" s="198"/>
      <c r="I1105" s="198"/>
      <c r="J1105" s="198"/>
      <c r="K1105" s="198"/>
      <c r="L1105" s="198"/>
      <c r="M1105" s="198"/>
      <c r="N1105" s="198"/>
      <c r="O1105" s="198"/>
      <c r="P1105" s="198"/>
    </row>
    <row r="1106" spans="3:18" ht="15.75" thickBot="1" x14ac:dyDescent="0.3">
      <c r="I1106" s="78"/>
    </row>
    <row r="1107" spans="3:18" ht="15.75" thickBot="1" x14ac:dyDescent="0.3">
      <c r="C1107" s="161"/>
      <c r="D1107" s="162"/>
      <c r="E1107" s="162"/>
      <c r="F1107" s="162"/>
      <c r="G1107" s="162" t="s">
        <v>687</v>
      </c>
      <c r="H1107" s="164">
        <f>H1108+H1118+H1126+H1136+H1146</f>
        <v>972978.79999999993</v>
      </c>
      <c r="I1107" s="164">
        <f t="shared" ref="I1107:P1107" si="283">I1108+I1118+I1126+I1136+I1146</f>
        <v>1056328.97</v>
      </c>
      <c r="J1107" s="164">
        <f t="shared" si="283"/>
        <v>1119757</v>
      </c>
      <c r="K1107" s="164">
        <f t="shared" si="283"/>
        <v>0</v>
      </c>
      <c r="L1107" s="164">
        <f t="shared" si="283"/>
        <v>1272382</v>
      </c>
      <c r="M1107" s="164">
        <f t="shared" si="283"/>
        <v>0</v>
      </c>
      <c r="N1107" s="164">
        <f t="shared" si="283"/>
        <v>1312861</v>
      </c>
      <c r="O1107" s="164">
        <f t="shared" si="283"/>
        <v>1443068</v>
      </c>
      <c r="P1107" s="164">
        <f t="shared" si="283"/>
        <v>1550871</v>
      </c>
    </row>
    <row r="1108" spans="3:18" ht="15.75" thickBot="1" x14ac:dyDescent="0.3">
      <c r="C1108" s="34" t="s">
        <v>585</v>
      </c>
      <c r="D1108" s="35"/>
      <c r="E1108" s="37"/>
      <c r="F1108" s="38"/>
      <c r="G1108" s="38" t="s">
        <v>687</v>
      </c>
      <c r="H1108" s="38">
        <f>H1117</f>
        <v>636739.49999999988</v>
      </c>
      <c r="I1108" s="38">
        <f t="shared" ref="I1108:P1108" si="284">I1117</f>
        <v>672749.12</v>
      </c>
      <c r="J1108" s="38">
        <f t="shared" si="284"/>
        <v>750854</v>
      </c>
      <c r="K1108" s="38">
        <f t="shared" si="284"/>
        <v>0</v>
      </c>
      <c r="L1108" s="38">
        <f t="shared" si="284"/>
        <v>878745</v>
      </c>
      <c r="M1108" s="38">
        <f t="shared" si="284"/>
        <v>0</v>
      </c>
      <c r="N1108" s="38">
        <f t="shared" si="284"/>
        <v>908375</v>
      </c>
      <c r="O1108" s="38">
        <f t="shared" si="284"/>
        <v>987543</v>
      </c>
      <c r="P1108" s="66">
        <f t="shared" si="284"/>
        <v>1075781</v>
      </c>
      <c r="R1108" s="78"/>
    </row>
    <row r="1109" spans="3:18" x14ac:dyDescent="0.25">
      <c r="C1109" s="138" t="s">
        <v>574</v>
      </c>
      <c r="D1109" s="139">
        <v>610</v>
      </c>
      <c r="E1109" s="140"/>
      <c r="F1109" s="140"/>
      <c r="G1109" s="140" t="s">
        <v>610</v>
      </c>
      <c r="H1109" s="141">
        <v>409186.92</v>
      </c>
      <c r="I1109" s="141">
        <v>436276.1</v>
      </c>
      <c r="J1109" s="141">
        <v>491966</v>
      </c>
      <c r="K1109" s="141"/>
      <c r="L1109" s="141">
        <v>574800</v>
      </c>
      <c r="M1109" s="141"/>
      <c r="N1109" s="141">
        <v>594425</v>
      </c>
      <c r="O1109" s="141">
        <v>653867</v>
      </c>
      <c r="P1109" s="141">
        <v>719253</v>
      </c>
    </row>
    <row r="1110" spans="3:18" x14ac:dyDescent="0.25">
      <c r="C1110" s="142"/>
      <c r="D1110" s="117">
        <v>620</v>
      </c>
      <c r="E1110" s="6"/>
      <c r="F1110" s="6"/>
      <c r="G1110" s="6" t="s">
        <v>689</v>
      </c>
      <c r="H1110" s="105">
        <v>154799.35999999999</v>
      </c>
      <c r="I1110" s="105">
        <v>160859.9</v>
      </c>
      <c r="J1110" s="105">
        <v>172188</v>
      </c>
      <c r="K1110" s="105"/>
      <c r="L1110" s="105">
        <v>200900</v>
      </c>
      <c r="M1110" s="105"/>
      <c r="N1110" s="105">
        <v>208800</v>
      </c>
      <c r="O1110" s="105">
        <v>228526</v>
      </c>
      <c r="P1110" s="105">
        <v>251378</v>
      </c>
    </row>
    <row r="1111" spans="3:18" ht="18" customHeight="1" x14ac:dyDescent="0.25">
      <c r="C1111" s="142"/>
      <c r="D1111" s="117">
        <v>631</v>
      </c>
      <c r="E1111" s="6"/>
      <c r="F1111" s="6"/>
      <c r="G1111" s="6" t="s">
        <v>676</v>
      </c>
      <c r="H1111" s="105">
        <v>1440.32</v>
      </c>
      <c r="I1111" s="105">
        <v>1354.63</v>
      </c>
      <c r="J1111" s="105">
        <v>2000</v>
      </c>
      <c r="K1111" s="105"/>
      <c r="L1111" s="105">
        <v>2000</v>
      </c>
      <c r="M1111" s="105"/>
      <c r="N1111" s="105">
        <v>2000</v>
      </c>
      <c r="O1111" s="105">
        <v>2000</v>
      </c>
      <c r="P1111" s="105">
        <v>2000</v>
      </c>
      <c r="R1111" s="78"/>
    </row>
    <row r="1112" spans="3:18" x14ac:dyDescent="0.25">
      <c r="C1112" s="142"/>
      <c r="D1112" s="117">
        <v>632</v>
      </c>
      <c r="E1112" s="6"/>
      <c r="F1112" s="6"/>
      <c r="G1112" s="6" t="s">
        <v>567</v>
      </c>
      <c r="H1112" s="105">
        <v>32332.48</v>
      </c>
      <c r="I1112" s="105">
        <v>39141.57</v>
      </c>
      <c r="J1112" s="105">
        <v>48950</v>
      </c>
      <c r="K1112" s="105"/>
      <c r="L1112" s="105">
        <v>47950</v>
      </c>
      <c r="M1112" s="105"/>
      <c r="N1112" s="105">
        <v>52850</v>
      </c>
      <c r="O1112" s="105">
        <v>52850</v>
      </c>
      <c r="P1112" s="105">
        <v>52850</v>
      </c>
    </row>
    <row r="1113" spans="3:18" x14ac:dyDescent="0.25">
      <c r="C1113" s="142"/>
      <c r="D1113" s="117">
        <v>633</v>
      </c>
      <c r="E1113" s="6"/>
      <c r="F1113" s="6"/>
      <c r="G1113" s="6" t="s">
        <v>471</v>
      </c>
      <c r="H1113" s="105">
        <v>6327.96</v>
      </c>
      <c r="I1113" s="105">
        <v>6455.3</v>
      </c>
      <c r="J1113" s="105">
        <v>12380</v>
      </c>
      <c r="K1113" s="105"/>
      <c r="L1113" s="105">
        <v>18380</v>
      </c>
      <c r="M1113" s="105"/>
      <c r="N1113" s="105">
        <v>15580</v>
      </c>
      <c r="O1113" s="105">
        <v>15580</v>
      </c>
      <c r="P1113" s="105">
        <v>15580</v>
      </c>
    </row>
    <row r="1114" spans="3:18" x14ac:dyDescent="0.25">
      <c r="C1114" s="142"/>
      <c r="D1114" s="117">
        <v>635</v>
      </c>
      <c r="E1114" s="6"/>
      <c r="F1114" s="6"/>
      <c r="G1114" s="6" t="s">
        <v>568</v>
      </c>
      <c r="H1114" s="105">
        <v>231.83</v>
      </c>
      <c r="I1114" s="105">
        <v>906.35</v>
      </c>
      <c r="J1114" s="105">
        <v>3500</v>
      </c>
      <c r="K1114" s="105"/>
      <c r="L1114" s="105">
        <v>2315</v>
      </c>
      <c r="M1114" s="105"/>
      <c r="N1114" s="105">
        <v>8020</v>
      </c>
      <c r="O1114" s="105">
        <v>8020</v>
      </c>
      <c r="P1114" s="105">
        <v>8020</v>
      </c>
    </row>
    <row r="1115" spans="3:18" x14ac:dyDescent="0.25">
      <c r="C1115" s="142"/>
      <c r="D1115" s="117">
        <v>634.63699999999994</v>
      </c>
      <c r="E1115" s="6"/>
      <c r="F1115" s="6"/>
      <c r="G1115" s="6" t="s">
        <v>479</v>
      </c>
      <c r="H1115" s="105">
        <v>28593.8</v>
      </c>
      <c r="I1115" s="105">
        <v>24943.11</v>
      </c>
      <c r="J1115" s="105">
        <v>19870</v>
      </c>
      <c r="K1115" s="105"/>
      <c r="L1115" s="105">
        <v>25500</v>
      </c>
      <c r="M1115" s="105"/>
      <c r="N1115" s="105">
        <v>25500</v>
      </c>
      <c r="O1115" s="105">
        <v>25500</v>
      </c>
      <c r="P1115" s="105">
        <v>25500</v>
      </c>
    </row>
    <row r="1116" spans="3:18" ht="15.75" thickBot="1" x14ac:dyDescent="0.3">
      <c r="C1116" s="142"/>
      <c r="D1116" s="118">
        <v>642</v>
      </c>
      <c r="E1116" s="119"/>
      <c r="F1116" s="119"/>
      <c r="G1116" s="119" t="s">
        <v>705</v>
      </c>
      <c r="H1116" s="120">
        <v>3826.83</v>
      </c>
      <c r="I1116" s="120">
        <v>2812.16</v>
      </c>
      <c r="J1116" s="120">
        <v>0</v>
      </c>
      <c r="K1116" s="120"/>
      <c r="L1116" s="120">
        <v>6900</v>
      </c>
      <c r="M1116" s="120"/>
      <c r="N1116" s="120">
        <v>1200</v>
      </c>
      <c r="O1116" s="120">
        <v>1200</v>
      </c>
      <c r="P1116" s="120">
        <v>1200</v>
      </c>
    </row>
    <row r="1117" spans="3:18" ht="15.75" thickBot="1" x14ac:dyDescent="0.3">
      <c r="C1117" s="143"/>
      <c r="D1117" s="69">
        <v>600</v>
      </c>
      <c r="E1117" s="122"/>
      <c r="F1117" s="122"/>
      <c r="G1117" s="122" t="s">
        <v>688</v>
      </c>
      <c r="H1117" s="73">
        <f>SUM(H1109:H1116)</f>
        <v>636739.49999999988</v>
      </c>
      <c r="I1117" s="73">
        <f t="shared" ref="I1117:P1117" si="285">SUM(I1109:I1116)</f>
        <v>672749.12</v>
      </c>
      <c r="J1117" s="73">
        <f t="shared" si="285"/>
        <v>750854</v>
      </c>
      <c r="K1117" s="73">
        <f t="shared" si="285"/>
        <v>0</v>
      </c>
      <c r="L1117" s="73">
        <f t="shared" si="285"/>
        <v>878745</v>
      </c>
      <c r="M1117" s="73">
        <f t="shared" si="285"/>
        <v>0</v>
      </c>
      <c r="N1117" s="73">
        <f t="shared" si="285"/>
        <v>908375</v>
      </c>
      <c r="O1117" s="73">
        <f t="shared" si="285"/>
        <v>987543</v>
      </c>
      <c r="P1117" s="123">
        <f t="shared" si="285"/>
        <v>1075781</v>
      </c>
    </row>
    <row r="1118" spans="3:18" ht="15.75" thickBot="1" x14ac:dyDescent="0.3">
      <c r="C1118" s="34" t="s">
        <v>565</v>
      </c>
      <c r="D1118" s="35"/>
      <c r="E1118" s="37"/>
      <c r="F1118" s="38"/>
      <c r="G1118" s="38" t="s">
        <v>586</v>
      </c>
      <c r="H1118" s="38">
        <f>H1125</f>
        <v>45528.500000000007</v>
      </c>
      <c r="I1118" s="38">
        <f t="shared" ref="I1118:P1118" si="286">I1125</f>
        <v>50225</v>
      </c>
      <c r="J1118" s="38">
        <f t="shared" si="286"/>
        <v>53340</v>
      </c>
      <c r="K1118" s="38">
        <f t="shared" si="286"/>
        <v>0</v>
      </c>
      <c r="L1118" s="38">
        <f t="shared" si="286"/>
        <v>53340</v>
      </c>
      <c r="M1118" s="38">
        <f t="shared" si="286"/>
        <v>0</v>
      </c>
      <c r="N1118" s="38">
        <f t="shared" si="286"/>
        <v>60570</v>
      </c>
      <c r="O1118" s="38">
        <f t="shared" si="286"/>
        <v>71356</v>
      </c>
      <c r="P1118" s="66">
        <f t="shared" si="286"/>
        <v>72770</v>
      </c>
    </row>
    <row r="1119" spans="3:18" x14ac:dyDescent="0.25">
      <c r="C1119" s="138"/>
      <c r="D1119" s="139">
        <v>610</v>
      </c>
      <c r="E1119" s="140"/>
      <c r="F1119" s="140"/>
      <c r="G1119" s="140" t="s">
        <v>610</v>
      </c>
      <c r="H1119" s="141">
        <v>29090.91</v>
      </c>
      <c r="I1119" s="141">
        <v>30890.240000000002</v>
      </c>
      <c r="J1119" s="141">
        <v>33657</v>
      </c>
      <c r="K1119" s="141"/>
      <c r="L1119" s="141">
        <v>33657</v>
      </c>
      <c r="M1119" s="141"/>
      <c r="N1119" s="141">
        <v>38500</v>
      </c>
      <c r="O1119" s="141">
        <v>46266</v>
      </c>
      <c r="P1119" s="141">
        <v>50893</v>
      </c>
    </row>
    <row r="1120" spans="3:18" x14ac:dyDescent="0.25">
      <c r="C1120" s="142"/>
      <c r="D1120" s="117">
        <v>620</v>
      </c>
      <c r="E1120" s="6"/>
      <c r="F1120" s="6"/>
      <c r="G1120" s="6" t="s">
        <v>689</v>
      </c>
      <c r="H1120" s="105">
        <v>10650.89</v>
      </c>
      <c r="I1120" s="105">
        <v>11123.52</v>
      </c>
      <c r="J1120" s="105">
        <v>11113</v>
      </c>
      <c r="K1120" s="105"/>
      <c r="L1120" s="105">
        <v>11113</v>
      </c>
      <c r="M1120" s="105"/>
      <c r="N1120" s="105">
        <v>13500</v>
      </c>
      <c r="O1120" s="105">
        <v>16170</v>
      </c>
      <c r="P1120" s="105">
        <v>12957</v>
      </c>
    </row>
    <row r="1121" spans="3:16" x14ac:dyDescent="0.25">
      <c r="C1121" s="142"/>
      <c r="D1121" s="117">
        <v>631</v>
      </c>
      <c r="E1121" s="6"/>
      <c r="F1121" s="6"/>
      <c r="G1121" s="6" t="s">
        <v>676</v>
      </c>
      <c r="H1121" s="105">
        <v>16.399999999999999</v>
      </c>
      <c r="I1121" s="105">
        <v>0</v>
      </c>
      <c r="J1121" s="105">
        <v>100</v>
      </c>
      <c r="K1121" s="105"/>
      <c r="L1121" s="105">
        <v>100</v>
      </c>
      <c r="M1121" s="105"/>
      <c r="N1121" s="105">
        <v>100</v>
      </c>
      <c r="O1121" s="105">
        <v>100</v>
      </c>
      <c r="P1121" s="105">
        <v>100</v>
      </c>
    </row>
    <row r="1122" spans="3:16" x14ac:dyDescent="0.25">
      <c r="C1122" s="142"/>
      <c r="D1122" s="117">
        <v>632</v>
      </c>
      <c r="E1122" s="6"/>
      <c r="F1122" s="6"/>
      <c r="G1122" s="6" t="s">
        <v>567</v>
      </c>
      <c r="H1122" s="105">
        <v>2933.5</v>
      </c>
      <c r="I1122" s="105">
        <v>5756.74</v>
      </c>
      <c r="J1122" s="105">
        <v>6500</v>
      </c>
      <c r="K1122" s="105"/>
      <c r="L1122" s="105">
        <v>6500</v>
      </c>
      <c r="M1122" s="105"/>
      <c r="N1122" s="105">
        <v>6500</v>
      </c>
      <c r="O1122" s="105">
        <v>6500</v>
      </c>
      <c r="P1122" s="105">
        <v>6500</v>
      </c>
    </row>
    <row r="1123" spans="3:16" x14ac:dyDescent="0.25">
      <c r="C1123" s="142"/>
      <c r="D1123" s="117">
        <v>633</v>
      </c>
      <c r="E1123" s="6"/>
      <c r="F1123" s="6"/>
      <c r="G1123" s="6" t="s">
        <v>471</v>
      </c>
      <c r="H1123" s="105">
        <v>1732.61</v>
      </c>
      <c r="I1123" s="105">
        <v>1312.16</v>
      </c>
      <c r="J1123" s="105">
        <v>900</v>
      </c>
      <c r="K1123" s="105"/>
      <c r="L1123" s="105">
        <v>900</v>
      </c>
      <c r="M1123" s="105"/>
      <c r="N1123" s="105">
        <v>900</v>
      </c>
      <c r="O1123" s="105">
        <v>1000</v>
      </c>
      <c r="P1123" s="105">
        <v>1000</v>
      </c>
    </row>
    <row r="1124" spans="3:16" ht="15.75" thickBot="1" x14ac:dyDescent="0.3">
      <c r="C1124" s="142"/>
      <c r="D1124" s="118">
        <v>634.63699999999994</v>
      </c>
      <c r="E1124" s="119"/>
      <c r="F1124" s="119"/>
      <c r="G1124" s="119" t="s">
        <v>479</v>
      </c>
      <c r="H1124" s="120">
        <v>1104.19</v>
      </c>
      <c r="I1124" s="120">
        <v>1142.3399999999999</v>
      </c>
      <c r="J1124" s="120">
        <v>1070</v>
      </c>
      <c r="K1124" s="120"/>
      <c r="L1124" s="120">
        <v>1070</v>
      </c>
      <c r="M1124" s="120"/>
      <c r="N1124" s="120">
        <v>1070</v>
      </c>
      <c r="O1124" s="120">
        <v>1320</v>
      </c>
      <c r="P1124" s="120">
        <v>1320</v>
      </c>
    </row>
    <row r="1125" spans="3:16" ht="15.75" thickBot="1" x14ac:dyDescent="0.3">
      <c r="C1125" s="143"/>
      <c r="D1125" s="69">
        <v>600</v>
      </c>
      <c r="E1125" s="122"/>
      <c r="F1125" s="122"/>
      <c r="G1125" s="122" t="s">
        <v>577</v>
      </c>
      <c r="H1125" s="73">
        <f>SUM(H1119:H1124)</f>
        <v>45528.500000000007</v>
      </c>
      <c r="I1125" s="73">
        <f t="shared" ref="I1125:P1125" si="287">SUM(I1119:I1124)</f>
        <v>50225</v>
      </c>
      <c r="J1125" s="73">
        <f t="shared" si="287"/>
        <v>53340</v>
      </c>
      <c r="K1125" s="73">
        <f t="shared" si="287"/>
        <v>0</v>
      </c>
      <c r="L1125" s="73">
        <f t="shared" si="287"/>
        <v>53340</v>
      </c>
      <c r="M1125" s="73">
        <f t="shared" si="287"/>
        <v>0</v>
      </c>
      <c r="N1125" s="73">
        <f>SUM(N1119:N1124)</f>
        <v>60570</v>
      </c>
      <c r="O1125" s="73">
        <f t="shared" si="287"/>
        <v>71356</v>
      </c>
      <c r="P1125" s="123">
        <f t="shared" si="287"/>
        <v>72770</v>
      </c>
    </row>
    <row r="1126" spans="3:16" ht="15.75" thickBot="1" x14ac:dyDescent="0.3">
      <c r="C1126" s="34" t="s">
        <v>691</v>
      </c>
      <c r="D1126" s="35"/>
      <c r="E1126" s="37"/>
      <c r="F1126" s="38"/>
      <c r="G1126" s="38" t="s">
        <v>692</v>
      </c>
      <c r="H1126" s="38">
        <f>H1135</f>
        <v>108002.44</v>
      </c>
      <c r="I1126" s="38">
        <f t="shared" ref="I1126:P1126" si="288">I1135</f>
        <v>190218.32</v>
      </c>
      <c r="J1126" s="38">
        <f t="shared" si="288"/>
        <v>225023</v>
      </c>
      <c r="K1126" s="38">
        <f t="shared" si="288"/>
        <v>0</v>
      </c>
      <c r="L1126" s="38">
        <f t="shared" si="288"/>
        <v>247758</v>
      </c>
      <c r="M1126" s="38">
        <f t="shared" si="288"/>
        <v>0</v>
      </c>
      <c r="N1126" s="38">
        <f t="shared" si="288"/>
        <v>253795</v>
      </c>
      <c r="O1126" s="38">
        <f t="shared" si="288"/>
        <v>288189</v>
      </c>
      <c r="P1126" s="38">
        <f t="shared" si="288"/>
        <v>303668</v>
      </c>
    </row>
    <row r="1127" spans="3:16" x14ac:dyDescent="0.25">
      <c r="C1127" s="144" t="s">
        <v>669</v>
      </c>
      <c r="D1127" s="139">
        <v>610</v>
      </c>
      <c r="E1127" s="140"/>
      <c r="F1127" s="140"/>
      <c r="G1127" s="140" t="s">
        <v>610</v>
      </c>
      <c r="H1127" s="141">
        <v>51807.66</v>
      </c>
      <c r="I1127" s="141">
        <v>63197.48</v>
      </c>
      <c r="J1127" s="141">
        <v>88272</v>
      </c>
      <c r="K1127" s="141"/>
      <c r="L1127" s="141">
        <v>84000</v>
      </c>
      <c r="M1127" s="141"/>
      <c r="N1127" s="141">
        <v>92400</v>
      </c>
      <c r="O1127" s="141">
        <v>113691</v>
      </c>
      <c r="P1127" s="141">
        <v>125060</v>
      </c>
    </row>
    <row r="1128" spans="3:16" x14ac:dyDescent="0.25">
      <c r="C1128" s="142"/>
      <c r="D1128" s="117">
        <v>620</v>
      </c>
      <c r="E1128" s="6"/>
      <c r="F1128" s="6"/>
      <c r="G1128" s="6" t="s">
        <v>689</v>
      </c>
      <c r="H1128" s="105">
        <v>18970.02</v>
      </c>
      <c r="I1128" s="105">
        <v>23422.55</v>
      </c>
      <c r="J1128" s="105">
        <v>30851</v>
      </c>
      <c r="K1128" s="105"/>
      <c r="L1128" s="105">
        <v>29358</v>
      </c>
      <c r="M1128" s="105"/>
      <c r="N1128" s="105">
        <v>32295</v>
      </c>
      <c r="O1128" s="105">
        <v>39598</v>
      </c>
      <c r="P1128" s="105">
        <v>43708</v>
      </c>
    </row>
    <row r="1129" spans="3:16" x14ac:dyDescent="0.25">
      <c r="C1129" s="142"/>
      <c r="D1129" s="117">
        <v>631</v>
      </c>
      <c r="E1129" s="6"/>
      <c r="F1129" s="6"/>
      <c r="G1129" s="6" t="s">
        <v>676</v>
      </c>
      <c r="H1129" s="105">
        <v>0</v>
      </c>
      <c r="I1129" s="105">
        <v>49.3</v>
      </c>
      <c r="J1129" s="105">
        <v>100</v>
      </c>
      <c r="K1129" s="105"/>
      <c r="L1129" s="105">
        <v>100</v>
      </c>
      <c r="M1129" s="105"/>
      <c r="N1129" s="105">
        <v>100</v>
      </c>
      <c r="O1129" s="105">
        <v>100</v>
      </c>
      <c r="P1129" s="105">
        <v>100</v>
      </c>
    </row>
    <row r="1130" spans="3:16" x14ac:dyDescent="0.25">
      <c r="C1130" s="142"/>
      <c r="D1130" s="117">
        <v>632</v>
      </c>
      <c r="E1130" s="6"/>
      <c r="F1130" s="6"/>
      <c r="G1130" s="6" t="s">
        <v>567</v>
      </c>
      <c r="H1130" s="105">
        <v>19582.82</v>
      </c>
      <c r="I1130" s="105">
        <v>22654.720000000001</v>
      </c>
      <c r="J1130" s="105">
        <v>27100</v>
      </c>
      <c r="K1130" s="105"/>
      <c r="L1130" s="105">
        <v>27100</v>
      </c>
      <c r="M1130" s="105"/>
      <c r="N1130" s="105">
        <v>27100</v>
      </c>
      <c r="O1130" s="105">
        <v>27100</v>
      </c>
      <c r="P1130" s="105">
        <v>27100</v>
      </c>
    </row>
    <row r="1131" spans="3:16" x14ac:dyDescent="0.25">
      <c r="C1131" s="142"/>
      <c r="D1131" s="117">
        <v>633</v>
      </c>
      <c r="E1131" s="6"/>
      <c r="F1131" s="6"/>
      <c r="G1131" s="6" t="s">
        <v>471</v>
      </c>
      <c r="H1131" s="105">
        <v>6283.44</v>
      </c>
      <c r="I1131" s="105">
        <v>70531.02</v>
      </c>
      <c r="J1131" s="105">
        <v>35800</v>
      </c>
      <c r="K1131" s="105"/>
      <c r="L1131" s="105">
        <v>96400</v>
      </c>
      <c r="M1131" s="105"/>
      <c r="N1131" s="105">
        <v>90900</v>
      </c>
      <c r="O1131" s="105">
        <v>90900</v>
      </c>
      <c r="P1131" s="105">
        <v>90900</v>
      </c>
    </row>
    <row r="1132" spans="3:16" x14ac:dyDescent="0.25">
      <c r="C1132" s="142"/>
      <c r="D1132" s="117">
        <v>635</v>
      </c>
      <c r="E1132" s="6"/>
      <c r="F1132" s="6"/>
      <c r="G1132" s="6" t="s">
        <v>568</v>
      </c>
      <c r="H1132" s="105">
        <v>3320.73</v>
      </c>
      <c r="I1132" s="105">
        <v>2873.44</v>
      </c>
      <c r="J1132" s="105">
        <v>36100</v>
      </c>
      <c r="K1132" s="105"/>
      <c r="L1132" s="105">
        <v>4000</v>
      </c>
      <c r="M1132" s="105"/>
      <c r="N1132" s="105">
        <v>4000</v>
      </c>
      <c r="O1132" s="105">
        <v>9800</v>
      </c>
      <c r="P1132" s="105">
        <v>9800</v>
      </c>
    </row>
    <row r="1133" spans="3:16" x14ac:dyDescent="0.25">
      <c r="C1133" s="142"/>
      <c r="D1133" s="117">
        <v>637</v>
      </c>
      <c r="E1133" s="6"/>
      <c r="F1133" s="6"/>
      <c r="G1133" s="6" t="s">
        <v>479</v>
      </c>
      <c r="H1133" s="105">
        <v>6057.77</v>
      </c>
      <c r="I1133" s="105">
        <v>7439.34</v>
      </c>
      <c r="J1133" s="105">
        <v>6400</v>
      </c>
      <c r="K1133" s="105"/>
      <c r="L1133" s="105">
        <v>6400</v>
      </c>
      <c r="M1133" s="105"/>
      <c r="N1133" s="105">
        <v>6600</v>
      </c>
      <c r="O1133" s="105">
        <v>6600</v>
      </c>
      <c r="P1133" s="105">
        <v>6600</v>
      </c>
    </row>
    <row r="1134" spans="3:16" ht="15.75" thickBot="1" x14ac:dyDescent="0.3">
      <c r="C1134" s="142"/>
      <c r="D1134" s="118">
        <v>642</v>
      </c>
      <c r="E1134" s="119"/>
      <c r="F1134" s="119"/>
      <c r="G1134" s="119" t="s">
        <v>705</v>
      </c>
      <c r="H1134" s="120">
        <v>1980</v>
      </c>
      <c r="I1134" s="120">
        <v>50.47</v>
      </c>
      <c r="J1134" s="120">
        <v>400</v>
      </c>
      <c r="K1134" s="120"/>
      <c r="L1134" s="120">
        <v>400</v>
      </c>
      <c r="M1134" s="120"/>
      <c r="N1134" s="120">
        <v>400</v>
      </c>
      <c r="O1134" s="120">
        <v>400</v>
      </c>
      <c r="P1134" s="120">
        <v>400</v>
      </c>
    </row>
    <row r="1135" spans="3:16" ht="15.75" thickBot="1" x14ac:dyDescent="0.3">
      <c r="C1135" s="143"/>
      <c r="D1135" s="69">
        <v>600</v>
      </c>
      <c r="E1135" s="122"/>
      <c r="F1135" s="122"/>
      <c r="G1135" s="122" t="s">
        <v>693</v>
      </c>
      <c r="H1135" s="73">
        <f>SUM(H1127:H1134)</f>
        <v>108002.44</v>
      </c>
      <c r="I1135" s="73">
        <f t="shared" ref="I1135" si="289">SUM(I1127:I1134)</f>
        <v>190218.32</v>
      </c>
      <c r="J1135" s="73">
        <f t="shared" ref="J1135" si="290">SUM(J1127:J1134)</f>
        <v>225023</v>
      </c>
      <c r="K1135" s="73">
        <f t="shared" ref="K1135" si="291">SUM(K1127:K1134)</f>
        <v>0</v>
      </c>
      <c r="L1135" s="73">
        <f t="shared" ref="L1135" si="292">SUM(L1127:L1134)</f>
        <v>247758</v>
      </c>
      <c r="M1135" s="73">
        <f t="shared" ref="M1135" si="293">SUM(M1127:M1134)</f>
        <v>0</v>
      </c>
      <c r="N1135" s="73">
        <f t="shared" ref="N1135" si="294">SUM(N1127:N1134)</f>
        <v>253795</v>
      </c>
      <c r="O1135" s="73">
        <f t="shared" ref="O1135" si="295">SUM(O1127:O1134)</f>
        <v>288189</v>
      </c>
      <c r="P1135" s="123">
        <f t="shared" ref="P1135" si="296">SUM(P1127:P1134)</f>
        <v>303668</v>
      </c>
    </row>
    <row r="1136" spans="3:16" ht="15.75" thickBot="1" x14ac:dyDescent="0.3">
      <c r="C1136" s="34" t="s">
        <v>694</v>
      </c>
      <c r="D1136" s="35"/>
      <c r="E1136" s="37"/>
      <c r="F1136" s="38"/>
      <c r="G1136" s="38" t="s">
        <v>587</v>
      </c>
      <c r="H1136" s="38">
        <f>H1145</f>
        <v>34597.21</v>
      </c>
      <c r="I1136" s="38">
        <f t="shared" ref="I1136:P1136" si="297">I1145</f>
        <v>36458.510000000009</v>
      </c>
      <c r="J1136" s="38">
        <f t="shared" si="297"/>
        <v>40960</v>
      </c>
      <c r="K1136" s="38">
        <f t="shared" si="297"/>
        <v>0</v>
      </c>
      <c r="L1136" s="38">
        <f t="shared" si="297"/>
        <v>42959</v>
      </c>
      <c r="M1136" s="38">
        <f t="shared" si="297"/>
        <v>0</v>
      </c>
      <c r="N1136" s="38">
        <f t="shared" si="297"/>
        <v>40541</v>
      </c>
      <c r="O1136" s="38">
        <f t="shared" si="297"/>
        <v>46400</v>
      </c>
      <c r="P1136" s="38">
        <f t="shared" si="297"/>
        <v>49072</v>
      </c>
    </row>
    <row r="1137" spans="3:16" x14ac:dyDescent="0.25">
      <c r="C1137" s="237"/>
      <c r="D1137" s="139">
        <v>610</v>
      </c>
      <c r="E1137" s="140"/>
      <c r="F1137" s="140"/>
      <c r="G1137" s="140" t="s">
        <v>610</v>
      </c>
      <c r="H1137" s="141">
        <v>11783.98</v>
      </c>
      <c r="I1137" s="141">
        <v>13927.12</v>
      </c>
      <c r="J1137" s="141">
        <v>16969</v>
      </c>
      <c r="K1137" s="141"/>
      <c r="L1137" s="141">
        <v>16969</v>
      </c>
      <c r="M1137" s="141"/>
      <c r="N1137" s="141">
        <v>18000</v>
      </c>
      <c r="O1137" s="141">
        <v>19800</v>
      </c>
      <c r="P1137" s="141">
        <v>21780</v>
      </c>
    </row>
    <row r="1138" spans="3:16" x14ac:dyDescent="0.25">
      <c r="C1138" s="238"/>
      <c r="D1138" s="117">
        <v>620</v>
      </c>
      <c r="E1138" s="6"/>
      <c r="F1138" s="6"/>
      <c r="G1138" s="6" t="s">
        <v>689</v>
      </c>
      <c r="H1138" s="105">
        <v>4274.37</v>
      </c>
      <c r="I1138" s="105">
        <v>4942.1000000000004</v>
      </c>
      <c r="J1138" s="105">
        <v>3931</v>
      </c>
      <c r="K1138" s="105"/>
      <c r="L1138" s="105">
        <v>5930</v>
      </c>
      <c r="M1138" s="105"/>
      <c r="N1138" s="105">
        <v>6291</v>
      </c>
      <c r="O1138" s="105">
        <v>6920</v>
      </c>
      <c r="P1138" s="105">
        <v>7612</v>
      </c>
    </row>
    <row r="1139" spans="3:16" x14ac:dyDescent="0.25">
      <c r="C1139" s="238"/>
      <c r="D1139" s="117">
        <v>631</v>
      </c>
      <c r="E1139" s="6"/>
      <c r="F1139" s="6"/>
      <c r="G1139" s="6" t="s">
        <v>676</v>
      </c>
      <c r="H1139" s="105">
        <v>51.31</v>
      </c>
      <c r="I1139" s="105">
        <v>57.12</v>
      </c>
      <c r="J1139" s="105">
        <v>250</v>
      </c>
      <c r="K1139" s="105"/>
      <c r="L1139" s="105">
        <v>250</v>
      </c>
      <c r="M1139" s="105"/>
      <c r="N1139" s="105">
        <v>250</v>
      </c>
      <c r="O1139" s="105">
        <v>250</v>
      </c>
      <c r="P1139" s="105">
        <v>250</v>
      </c>
    </row>
    <row r="1140" spans="3:16" x14ac:dyDescent="0.25">
      <c r="C1140" s="238"/>
      <c r="D1140" s="117">
        <v>632</v>
      </c>
      <c r="E1140" s="6"/>
      <c r="F1140" s="6"/>
      <c r="G1140" s="6" t="s">
        <v>567</v>
      </c>
      <c r="H1140" s="105">
        <v>14465.53</v>
      </c>
      <c r="I1140" s="105">
        <v>12103.79</v>
      </c>
      <c r="J1140" s="105">
        <v>8100</v>
      </c>
      <c r="K1140" s="105"/>
      <c r="L1140" s="105">
        <v>9000</v>
      </c>
      <c r="M1140" s="105"/>
      <c r="N1140" s="105">
        <v>8100</v>
      </c>
      <c r="O1140" s="105">
        <v>8100</v>
      </c>
      <c r="P1140" s="105">
        <v>8100</v>
      </c>
    </row>
    <row r="1141" spans="3:16" x14ac:dyDescent="0.25">
      <c r="C1141" s="238"/>
      <c r="D1141" s="117">
        <v>633</v>
      </c>
      <c r="E1141" s="6"/>
      <c r="F1141" s="6"/>
      <c r="G1141" s="6" t="s">
        <v>471</v>
      </c>
      <c r="H1141" s="105">
        <v>936.26</v>
      </c>
      <c r="I1141" s="105">
        <v>788.81</v>
      </c>
      <c r="J1141" s="105">
        <v>3000</v>
      </c>
      <c r="K1141" s="105"/>
      <c r="L1141" s="105">
        <v>3000</v>
      </c>
      <c r="M1141" s="105"/>
      <c r="N1141" s="105">
        <v>2250</v>
      </c>
      <c r="O1141" s="105">
        <v>3250</v>
      </c>
      <c r="P1141" s="105">
        <v>3250</v>
      </c>
    </row>
    <row r="1142" spans="3:16" x14ac:dyDescent="0.25">
      <c r="C1142" s="238"/>
      <c r="D1142" s="117">
        <v>635</v>
      </c>
      <c r="E1142" s="6"/>
      <c r="F1142" s="6"/>
      <c r="G1142" s="6" t="s">
        <v>568</v>
      </c>
      <c r="H1142" s="105">
        <v>0</v>
      </c>
      <c r="I1142" s="105">
        <v>50</v>
      </c>
      <c r="J1142" s="105">
        <v>4000</v>
      </c>
      <c r="K1142" s="105"/>
      <c r="L1142" s="105">
        <v>4000</v>
      </c>
      <c r="M1142" s="105"/>
      <c r="N1142" s="105">
        <v>2000</v>
      </c>
      <c r="O1142" s="105">
        <v>4000</v>
      </c>
      <c r="P1142" s="105">
        <v>4000</v>
      </c>
    </row>
    <row r="1143" spans="3:16" x14ac:dyDescent="0.25">
      <c r="C1143" s="238"/>
      <c r="D1143" s="117">
        <v>637</v>
      </c>
      <c r="E1143" s="6"/>
      <c r="F1143" s="6"/>
      <c r="G1143" s="6" t="s">
        <v>479</v>
      </c>
      <c r="H1143" s="105">
        <v>3085.76</v>
      </c>
      <c r="I1143" s="105">
        <v>4543.0200000000004</v>
      </c>
      <c r="J1143" s="105">
        <v>4610</v>
      </c>
      <c r="K1143" s="105"/>
      <c r="L1143" s="105">
        <v>3710</v>
      </c>
      <c r="M1143" s="105"/>
      <c r="N1143" s="105">
        <v>3500</v>
      </c>
      <c r="O1143" s="105">
        <v>3930</v>
      </c>
      <c r="P1143" s="105">
        <v>3930</v>
      </c>
    </row>
    <row r="1144" spans="3:16" ht="15.75" thickBot="1" x14ac:dyDescent="0.3">
      <c r="C1144" s="238"/>
      <c r="D1144" s="118">
        <v>642</v>
      </c>
      <c r="E1144" s="119"/>
      <c r="F1144" s="119"/>
      <c r="G1144" s="119" t="s">
        <v>690</v>
      </c>
      <c r="H1144" s="120">
        <v>0</v>
      </c>
      <c r="I1144" s="120">
        <v>46.55</v>
      </c>
      <c r="J1144" s="120">
        <v>100</v>
      </c>
      <c r="K1144" s="120"/>
      <c r="L1144" s="120">
        <v>100</v>
      </c>
      <c r="M1144" s="120"/>
      <c r="N1144" s="120">
        <v>150</v>
      </c>
      <c r="O1144" s="120">
        <v>150</v>
      </c>
      <c r="P1144" s="120">
        <v>150</v>
      </c>
    </row>
    <row r="1145" spans="3:16" ht="15.75" thickBot="1" x14ac:dyDescent="0.3">
      <c r="C1145" s="239"/>
      <c r="D1145" s="69">
        <v>600</v>
      </c>
      <c r="E1145" s="122"/>
      <c r="F1145" s="122"/>
      <c r="G1145" s="122" t="s">
        <v>588</v>
      </c>
      <c r="H1145" s="73">
        <f>SUM(H1137:H1144)</f>
        <v>34597.21</v>
      </c>
      <c r="I1145" s="73">
        <f t="shared" ref="I1145" si="298">SUM(I1137:I1144)</f>
        <v>36458.510000000009</v>
      </c>
      <c r="J1145" s="73">
        <f t="shared" ref="J1145" si="299">SUM(J1137:J1144)</f>
        <v>40960</v>
      </c>
      <c r="K1145" s="73">
        <f t="shared" ref="K1145" si="300">SUM(K1137:K1144)</f>
        <v>0</v>
      </c>
      <c r="L1145" s="73">
        <f t="shared" ref="L1145" si="301">SUM(L1137:L1144)</f>
        <v>42959</v>
      </c>
      <c r="M1145" s="73">
        <f t="shared" ref="M1145" si="302">SUM(M1137:M1144)</f>
        <v>0</v>
      </c>
      <c r="N1145" s="73">
        <f t="shared" ref="N1145" si="303">SUM(N1137:N1144)</f>
        <v>40541</v>
      </c>
      <c r="O1145" s="73">
        <f t="shared" ref="O1145" si="304">SUM(O1137:O1144)</f>
        <v>46400</v>
      </c>
      <c r="P1145" s="123">
        <f t="shared" ref="P1145" si="305">SUM(P1137:P1144)</f>
        <v>49072</v>
      </c>
    </row>
    <row r="1146" spans="3:16" ht="15.75" thickBot="1" x14ac:dyDescent="0.3">
      <c r="C1146" s="34"/>
      <c r="D1146" s="35"/>
      <c r="E1146" s="37"/>
      <c r="F1146" s="38"/>
      <c r="G1146" s="145" t="s">
        <v>695</v>
      </c>
      <c r="H1146" s="145">
        <f>H1158</f>
        <v>148111.15</v>
      </c>
      <c r="I1146" s="145">
        <f t="shared" ref="I1146:P1146" si="306">I1158</f>
        <v>106678.02</v>
      </c>
      <c r="J1146" s="145">
        <f t="shared" si="306"/>
        <v>49580</v>
      </c>
      <c r="K1146" s="145">
        <f t="shared" si="306"/>
        <v>0</v>
      </c>
      <c r="L1146" s="145">
        <f t="shared" si="306"/>
        <v>49580</v>
      </c>
      <c r="M1146" s="145">
        <f t="shared" si="306"/>
        <v>0</v>
      </c>
      <c r="N1146" s="145">
        <f t="shared" si="306"/>
        <v>49580</v>
      </c>
      <c r="O1146" s="145">
        <f t="shared" si="306"/>
        <v>49580</v>
      </c>
      <c r="P1146" s="145">
        <f t="shared" si="306"/>
        <v>49580</v>
      </c>
    </row>
    <row r="1147" spans="3:16" x14ac:dyDescent="0.25">
      <c r="C1147" s="237"/>
      <c r="D1147" s="240"/>
      <c r="G1147" s="6" t="s">
        <v>578</v>
      </c>
      <c r="H1147" s="105">
        <v>1494</v>
      </c>
      <c r="I1147" s="146"/>
      <c r="J1147" s="105">
        <v>1500</v>
      </c>
      <c r="K1147" s="105"/>
      <c r="L1147" s="105">
        <v>1500</v>
      </c>
      <c r="M1147" s="105"/>
      <c r="N1147" s="105">
        <v>1500</v>
      </c>
      <c r="O1147" s="105">
        <v>1500</v>
      </c>
      <c r="P1147" s="105">
        <v>1500</v>
      </c>
    </row>
    <row r="1148" spans="3:16" x14ac:dyDescent="0.25">
      <c r="C1148" s="238"/>
      <c r="D1148" s="241"/>
      <c r="G1148" s="6" t="s">
        <v>579</v>
      </c>
      <c r="H1148" s="105">
        <v>3297</v>
      </c>
      <c r="I1148" s="146"/>
      <c r="J1148" s="105">
        <v>0</v>
      </c>
      <c r="K1148" s="105"/>
      <c r="L1148" s="105">
        <v>0</v>
      </c>
      <c r="M1148" s="105"/>
      <c r="N1148" s="105">
        <v>0</v>
      </c>
      <c r="O1148" s="105">
        <v>0</v>
      </c>
      <c r="P1148" s="105">
        <v>0</v>
      </c>
    </row>
    <row r="1149" spans="3:16" x14ac:dyDescent="0.25">
      <c r="C1149" s="238"/>
      <c r="D1149" s="241"/>
      <c r="G1149" s="6" t="s">
        <v>696</v>
      </c>
      <c r="H1149" s="105">
        <v>7725.01</v>
      </c>
      <c r="I1149" s="146"/>
      <c r="J1149" s="105">
        <v>7000</v>
      </c>
      <c r="K1149" s="105"/>
      <c r="L1149" s="105">
        <v>7000</v>
      </c>
      <c r="M1149" s="105"/>
      <c r="N1149" s="105">
        <v>7000</v>
      </c>
      <c r="O1149" s="105">
        <v>7000</v>
      </c>
      <c r="P1149" s="105">
        <v>7000</v>
      </c>
    </row>
    <row r="1150" spans="3:16" x14ac:dyDescent="0.25">
      <c r="C1150" s="238"/>
      <c r="D1150" s="241"/>
      <c r="G1150" s="6" t="s">
        <v>697</v>
      </c>
      <c r="H1150" s="105">
        <v>9224</v>
      </c>
      <c r="I1150" s="146"/>
      <c r="J1150" s="105">
        <v>20160</v>
      </c>
      <c r="K1150" s="105"/>
      <c r="L1150" s="105">
        <v>20160</v>
      </c>
      <c r="M1150" s="105"/>
      <c r="N1150" s="105">
        <v>20160</v>
      </c>
      <c r="O1150" s="105">
        <v>20160</v>
      </c>
      <c r="P1150" s="105">
        <v>20160</v>
      </c>
    </row>
    <row r="1151" spans="3:16" x14ac:dyDescent="0.25">
      <c r="C1151" s="238"/>
      <c r="D1151" s="241"/>
      <c r="G1151" s="6" t="s">
        <v>589</v>
      </c>
      <c r="H1151" s="105">
        <v>2788.5</v>
      </c>
      <c r="I1151" s="146"/>
      <c r="J1151" s="105">
        <v>0</v>
      </c>
      <c r="K1151" s="105"/>
      <c r="L1151" s="105">
        <v>0</v>
      </c>
      <c r="M1151" s="105"/>
      <c r="N1151" s="105">
        <v>0</v>
      </c>
      <c r="O1151" s="105">
        <v>0</v>
      </c>
      <c r="P1151" s="105">
        <v>0</v>
      </c>
    </row>
    <row r="1152" spans="3:16" x14ac:dyDescent="0.25">
      <c r="C1152" s="238"/>
      <c r="D1152" s="241"/>
      <c r="G1152" s="6" t="s">
        <v>698</v>
      </c>
      <c r="H1152" s="105">
        <v>109</v>
      </c>
      <c r="I1152" s="146"/>
      <c r="J1152" s="105">
        <v>150</v>
      </c>
      <c r="K1152" s="105"/>
      <c r="L1152" s="105">
        <v>150</v>
      </c>
      <c r="M1152" s="105"/>
      <c r="N1152" s="105">
        <v>150</v>
      </c>
      <c r="O1152" s="105">
        <v>150</v>
      </c>
      <c r="P1152" s="105">
        <v>150</v>
      </c>
    </row>
    <row r="1153" spans="3:16" x14ac:dyDescent="0.25">
      <c r="C1153" s="238"/>
      <c r="D1153" s="241"/>
      <c r="G1153" s="6" t="s">
        <v>699</v>
      </c>
      <c r="H1153" s="105">
        <v>5497</v>
      </c>
      <c r="I1153" s="146"/>
      <c r="J1153" s="105">
        <v>5270</v>
      </c>
      <c r="K1153" s="105"/>
      <c r="L1153" s="105">
        <v>5270</v>
      </c>
      <c r="M1153" s="105"/>
      <c r="N1153" s="105">
        <v>5270</v>
      </c>
      <c r="O1153" s="105">
        <v>5270</v>
      </c>
      <c r="P1153" s="105">
        <v>5270</v>
      </c>
    </row>
    <row r="1154" spans="3:16" x14ac:dyDescent="0.25">
      <c r="C1154" s="238"/>
      <c r="D1154" s="241"/>
      <c r="G1154" s="6" t="s">
        <v>700</v>
      </c>
      <c r="H1154" s="105">
        <v>3380</v>
      </c>
      <c r="I1154" s="146"/>
      <c r="J1154" s="105">
        <v>5850</v>
      </c>
      <c r="K1154" s="105"/>
      <c r="L1154" s="105">
        <v>5850</v>
      </c>
      <c r="M1154" s="105"/>
      <c r="N1154" s="105">
        <v>5850</v>
      </c>
      <c r="O1154" s="105">
        <v>5850</v>
      </c>
      <c r="P1154" s="105">
        <v>5850</v>
      </c>
    </row>
    <row r="1155" spans="3:16" x14ac:dyDescent="0.25">
      <c r="C1155" s="238"/>
      <c r="D1155" s="241"/>
      <c r="G1155" s="6" t="s">
        <v>701</v>
      </c>
      <c r="H1155" s="105">
        <v>4474.7</v>
      </c>
      <c r="I1155" s="146"/>
      <c r="J1155" s="105">
        <v>3800</v>
      </c>
      <c r="K1155" s="105"/>
      <c r="L1155" s="105">
        <v>3800</v>
      </c>
      <c r="M1155" s="105"/>
      <c r="N1155" s="105">
        <v>3800</v>
      </c>
      <c r="O1155" s="105">
        <v>3800</v>
      </c>
      <c r="P1155" s="105">
        <v>3800</v>
      </c>
    </row>
    <row r="1156" spans="3:16" x14ac:dyDescent="0.25">
      <c r="C1156" s="238"/>
      <c r="D1156" s="241"/>
      <c r="G1156" s="6" t="s">
        <v>702</v>
      </c>
      <c r="H1156" s="105">
        <v>5181.9399999999996</v>
      </c>
      <c r="I1156" s="146"/>
      <c r="J1156" s="105">
        <v>5850</v>
      </c>
      <c r="K1156" s="105"/>
      <c r="L1156" s="105">
        <v>5850</v>
      </c>
      <c r="M1156" s="105"/>
      <c r="N1156" s="105">
        <v>5850</v>
      </c>
      <c r="O1156" s="105">
        <v>5850</v>
      </c>
      <c r="P1156" s="105">
        <v>5850</v>
      </c>
    </row>
    <row r="1157" spans="3:16" ht="15.75" thickBot="1" x14ac:dyDescent="0.3">
      <c r="C1157" s="238"/>
      <c r="D1157" s="241"/>
      <c r="G1157" s="119" t="s">
        <v>703</v>
      </c>
      <c r="H1157" s="120">
        <v>104940</v>
      </c>
      <c r="I1157" s="147"/>
      <c r="J1157" s="120">
        <v>0</v>
      </c>
      <c r="K1157" s="120"/>
      <c r="L1157" s="120">
        <v>0</v>
      </c>
      <c r="M1157" s="120"/>
      <c r="N1157" s="120">
        <v>0</v>
      </c>
      <c r="O1157" s="120">
        <v>0</v>
      </c>
      <c r="P1157" s="120">
        <v>0</v>
      </c>
    </row>
    <row r="1158" spans="3:16" ht="15.75" thickBot="1" x14ac:dyDescent="0.3">
      <c r="C1158" s="239"/>
      <c r="D1158" s="148">
        <v>600</v>
      </c>
      <c r="E1158" s="149"/>
      <c r="F1158" s="149"/>
      <c r="G1158" s="122" t="s">
        <v>695</v>
      </c>
      <c r="H1158" s="73">
        <f>SUM(H1147:H1157)</f>
        <v>148111.15</v>
      </c>
      <c r="I1158" s="73">
        <v>106678.02</v>
      </c>
      <c r="J1158" s="73">
        <f>SUM(J1147:J1157)</f>
        <v>49580</v>
      </c>
      <c r="K1158" s="73">
        <f t="shared" ref="K1158:P1158" si="307">SUM(K1147:K1157)</f>
        <v>0</v>
      </c>
      <c r="L1158" s="73">
        <f t="shared" si="307"/>
        <v>49580</v>
      </c>
      <c r="M1158" s="73">
        <f t="shared" si="307"/>
        <v>0</v>
      </c>
      <c r="N1158" s="73">
        <f t="shared" si="307"/>
        <v>49580</v>
      </c>
      <c r="O1158" s="73">
        <f t="shared" si="307"/>
        <v>49580</v>
      </c>
      <c r="P1158" s="73">
        <f t="shared" si="307"/>
        <v>49580</v>
      </c>
    </row>
    <row r="1159" spans="3:16" ht="15.75" thickBot="1" x14ac:dyDescent="0.3">
      <c r="C1159" s="161"/>
      <c r="D1159" s="162"/>
      <c r="E1159" s="162"/>
      <c r="F1159" s="162"/>
      <c r="G1159" s="162" t="s">
        <v>573</v>
      </c>
      <c r="H1159" s="164">
        <f>H1160+H1171+H1181</f>
        <v>615215.05000000005</v>
      </c>
      <c r="I1159" s="164">
        <f t="shared" ref="I1159:P1159" si="308">I1160+I1171+I1181</f>
        <v>667470.55999999982</v>
      </c>
      <c r="J1159" s="164">
        <f t="shared" si="308"/>
        <v>674310</v>
      </c>
      <c r="K1159" s="164">
        <f t="shared" si="308"/>
        <v>0</v>
      </c>
      <c r="L1159" s="164">
        <f t="shared" si="308"/>
        <v>700051</v>
      </c>
      <c r="M1159" s="164">
        <f t="shared" si="308"/>
        <v>0</v>
      </c>
      <c r="N1159" s="164">
        <f t="shared" si="308"/>
        <v>771652</v>
      </c>
      <c r="O1159" s="164">
        <f t="shared" si="308"/>
        <v>838960</v>
      </c>
      <c r="P1159" s="164">
        <f t="shared" si="308"/>
        <v>912860</v>
      </c>
    </row>
    <row r="1160" spans="3:16" ht="15.75" thickBot="1" x14ac:dyDescent="0.3">
      <c r="C1160" s="34" t="s">
        <v>585</v>
      </c>
      <c r="D1160" s="35"/>
      <c r="E1160" s="37"/>
      <c r="F1160" s="38"/>
      <c r="G1160" s="38" t="s">
        <v>573</v>
      </c>
      <c r="H1160" s="38">
        <f>H1170</f>
        <v>542485.84000000008</v>
      </c>
      <c r="I1160" s="38">
        <f t="shared" ref="I1160:P1160" si="309">I1170</f>
        <v>592080.48999999987</v>
      </c>
      <c r="J1160" s="38">
        <f t="shared" si="309"/>
        <v>595840</v>
      </c>
      <c r="K1160" s="38">
        <f t="shared" si="309"/>
        <v>0</v>
      </c>
      <c r="L1160" s="38">
        <f t="shared" si="309"/>
        <v>615653</v>
      </c>
      <c r="M1160" s="38">
        <f t="shared" si="309"/>
        <v>0</v>
      </c>
      <c r="N1160" s="38">
        <f t="shared" si="309"/>
        <v>679662</v>
      </c>
      <c r="O1160" s="38">
        <f t="shared" si="309"/>
        <v>743860</v>
      </c>
      <c r="P1160" s="66">
        <f t="shared" si="309"/>
        <v>812910</v>
      </c>
    </row>
    <row r="1161" spans="3:16" x14ac:dyDescent="0.25">
      <c r="C1161" s="138" t="s">
        <v>574</v>
      </c>
      <c r="D1161" s="139">
        <v>610</v>
      </c>
      <c r="E1161" s="140"/>
      <c r="F1161" s="140"/>
      <c r="G1161" s="140" t="s">
        <v>610</v>
      </c>
      <c r="H1161" s="141">
        <v>363821.7</v>
      </c>
      <c r="I1161" s="141">
        <v>403971.29</v>
      </c>
      <c r="J1161" s="141">
        <v>397020</v>
      </c>
      <c r="K1161" s="141"/>
      <c r="L1161" s="141">
        <v>425617</v>
      </c>
      <c r="M1161" s="141"/>
      <c r="N1161" s="141">
        <v>466632</v>
      </c>
      <c r="O1161" s="141">
        <v>513290</v>
      </c>
      <c r="P1161" s="141">
        <v>563620</v>
      </c>
    </row>
    <row r="1162" spans="3:16" x14ac:dyDescent="0.25">
      <c r="C1162" s="142"/>
      <c r="D1162" s="117">
        <v>620</v>
      </c>
      <c r="E1162" s="6"/>
      <c r="F1162" s="6"/>
      <c r="G1162" s="6" t="s">
        <v>689</v>
      </c>
      <c r="H1162" s="105">
        <v>127544.84</v>
      </c>
      <c r="I1162" s="105">
        <v>142263.56</v>
      </c>
      <c r="J1162" s="105">
        <v>137400</v>
      </c>
      <c r="K1162" s="105"/>
      <c r="L1162" s="105">
        <v>148920</v>
      </c>
      <c r="M1162" s="105"/>
      <c r="N1162" s="105">
        <v>164250</v>
      </c>
      <c r="O1162" s="105">
        <v>180670</v>
      </c>
      <c r="P1162" s="105">
        <v>198390</v>
      </c>
    </row>
    <row r="1163" spans="3:16" x14ac:dyDescent="0.25">
      <c r="C1163" s="142"/>
      <c r="D1163" s="117">
        <v>631</v>
      </c>
      <c r="E1163" s="6"/>
      <c r="F1163" s="6"/>
      <c r="G1163" s="6" t="s">
        <v>676</v>
      </c>
      <c r="H1163" s="105">
        <v>110.9</v>
      </c>
      <c r="I1163" s="105">
        <v>239.6</v>
      </c>
      <c r="J1163" s="105">
        <v>400</v>
      </c>
      <c r="K1163" s="105"/>
      <c r="L1163" s="105">
        <v>150</v>
      </c>
      <c r="M1163" s="105"/>
      <c r="N1163" s="105">
        <v>300</v>
      </c>
      <c r="O1163" s="105">
        <v>300</v>
      </c>
      <c r="P1163" s="105">
        <v>300</v>
      </c>
    </row>
    <row r="1164" spans="3:16" x14ac:dyDescent="0.25">
      <c r="C1164" s="142"/>
      <c r="D1164" s="117">
        <v>632</v>
      </c>
      <c r="E1164" s="6"/>
      <c r="F1164" s="6"/>
      <c r="G1164" s="6" t="s">
        <v>567</v>
      </c>
      <c r="H1164" s="105">
        <v>17951.169999999998</v>
      </c>
      <c r="I1164" s="105">
        <v>17169.32</v>
      </c>
      <c r="J1164" s="105">
        <v>25900</v>
      </c>
      <c r="K1164" s="105"/>
      <c r="L1164" s="105">
        <v>15580</v>
      </c>
      <c r="M1164" s="105"/>
      <c r="N1164" s="105">
        <v>23170</v>
      </c>
      <c r="O1164" s="105">
        <v>23640</v>
      </c>
      <c r="P1164" s="105">
        <v>24180</v>
      </c>
    </row>
    <row r="1165" spans="3:16" x14ac:dyDescent="0.25">
      <c r="C1165" s="142"/>
      <c r="D1165" s="117">
        <v>633</v>
      </c>
      <c r="E1165" s="6"/>
      <c r="F1165" s="6"/>
      <c r="G1165" s="6" t="s">
        <v>471</v>
      </c>
      <c r="H1165" s="105">
        <v>10698.65</v>
      </c>
      <c r="I1165" s="105">
        <v>5923.07</v>
      </c>
      <c r="J1165" s="105">
        <v>16110</v>
      </c>
      <c r="K1165" s="105"/>
      <c r="L1165" s="105">
        <v>3935</v>
      </c>
      <c r="M1165" s="105"/>
      <c r="N1165" s="105">
        <v>3880</v>
      </c>
      <c r="O1165" s="105">
        <v>4260</v>
      </c>
      <c r="P1165" s="105">
        <v>4420</v>
      </c>
    </row>
    <row r="1166" spans="3:16" x14ac:dyDescent="0.25">
      <c r="C1166" s="142"/>
      <c r="D1166" s="117">
        <v>635</v>
      </c>
      <c r="E1166" s="6"/>
      <c r="F1166" s="6"/>
      <c r="G1166" s="6" t="s">
        <v>568</v>
      </c>
      <c r="H1166" s="105">
        <v>0</v>
      </c>
      <c r="I1166" s="105">
        <v>1759.58</v>
      </c>
      <c r="J1166" s="105">
        <v>2100</v>
      </c>
      <c r="K1166" s="105"/>
      <c r="L1166" s="105">
        <v>581</v>
      </c>
      <c r="M1166" s="105"/>
      <c r="N1166" s="105">
        <v>1130</v>
      </c>
      <c r="O1166" s="105">
        <v>1250</v>
      </c>
      <c r="P1166" s="105">
        <v>1350</v>
      </c>
    </row>
    <row r="1167" spans="3:16" x14ac:dyDescent="0.25">
      <c r="C1167" s="142"/>
      <c r="D1167" s="117">
        <v>636</v>
      </c>
      <c r="E1167" s="6"/>
      <c r="F1167" s="6"/>
      <c r="G1167" s="150" t="s">
        <v>704</v>
      </c>
      <c r="H1167" s="105">
        <v>1290</v>
      </c>
      <c r="I1167" s="105">
        <v>1925</v>
      </c>
      <c r="J1167" s="105">
        <v>1060</v>
      </c>
      <c r="K1167" s="105"/>
      <c r="L1167" s="105">
        <v>3525</v>
      </c>
      <c r="M1167" s="105"/>
      <c r="N1167" s="105">
        <v>3500</v>
      </c>
      <c r="O1167" s="105">
        <v>3500</v>
      </c>
      <c r="P1167" s="105">
        <v>3500</v>
      </c>
    </row>
    <row r="1168" spans="3:16" x14ac:dyDescent="0.25">
      <c r="C1168" s="142"/>
      <c r="D1168" s="117">
        <v>637</v>
      </c>
      <c r="E1168" s="6"/>
      <c r="F1168" s="6"/>
      <c r="G1168" s="6" t="s">
        <v>479</v>
      </c>
      <c r="H1168" s="105">
        <v>21068.58</v>
      </c>
      <c r="I1168" s="105">
        <v>18289.560000000001</v>
      </c>
      <c r="J1168" s="105">
        <v>15850</v>
      </c>
      <c r="K1168" s="105"/>
      <c r="L1168" s="105">
        <v>17168</v>
      </c>
      <c r="M1168" s="105"/>
      <c r="N1168" s="105">
        <v>16800</v>
      </c>
      <c r="O1168" s="105">
        <v>16950</v>
      </c>
      <c r="P1168" s="105">
        <v>17150</v>
      </c>
    </row>
    <row r="1169" spans="3:16" ht="15.75" thickBot="1" x14ac:dyDescent="0.3">
      <c r="C1169" s="142"/>
      <c r="D1169" s="118">
        <v>642</v>
      </c>
      <c r="E1169" s="119"/>
      <c r="F1169" s="119"/>
      <c r="G1169" s="119" t="s">
        <v>705</v>
      </c>
      <c r="H1169" s="120">
        <v>0</v>
      </c>
      <c r="I1169" s="120">
        <v>539.51</v>
      </c>
      <c r="J1169" s="120">
        <v>0</v>
      </c>
      <c r="K1169" s="120"/>
      <c r="L1169" s="120">
        <v>177</v>
      </c>
      <c r="M1169" s="120"/>
      <c r="N1169" s="120">
        <v>0</v>
      </c>
      <c r="O1169" s="120">
        <v>0</v>
      </c>
      <c r="P1169" s="120">
        <v>0</v>
      </c>
    </row>
    <row r="1170" spans="3:16" ht="15.75" thickBot="1" x14ac:dyDescent="0.3">
      <c r="C1170" s="143"/>
      <c r="D1170" s="69">
        <v>600</v>
      </c>
      <c r="E1170" s="122"/>
      <c r="F1170" s="122"/>
      <c r="G1170" s="122" t="s">
        <v>575</v>
      </c>
      <c r="H1170" s="73">
        <f>SUM(H1161:H1169)</f>
        <v>542485.84000000008</v>
      </c>
      <c r="I1170" s="73">
        <f t="shared" ref="I1170" si="310">SUM(I1161:I1169)</f>
        <v>592080.48999999987</v>
      </c>
      <c r="J1170" s="73">
        <f t="shared" ref="J1170" si="311">SUM(J1161:J1169)</f>
        <v>595840</v>
      </c>
      <c r="K1170" s="73">
        <f t="shared" ref="K1170" si="312">SUM(K1161:K1169)</f>
        <v>0</v>
      </c>
      <c r="L1170" s="73">
        <f>SUM(L1161:L1169)</f>
        <v>615653</v>
      </c>
      <c r="M1170" s="73">
        <f t="shared" ref="M1170" si="313">SUM(M1161:M1169)</f>
        <v>0</v>
      </c>
      <c r="N1170" s="73">
        <f t="shared" ref="N1170" si="314">SUM(N1161:N1169)</f>
        <v>679662</v>
      </c>
      <c r="O1170" s="73">
        <f t="shared" ref="O1170" si="315">SUM(O1161:O1169)</f>
        <v>743860</v>
      </c>
      <c r="P1170" s="123">
        <f t="shared" ref="P1170" si="316">SUM(P1161:P1169)</f>
        <v>812910</v>
      </c>
    </row>
    <row r="1171" spans="3:16" ht="15.75" thickBot="1" x14ac:dyDescent="0.3">
      <c r="C1171" s="34" t="s">
        <v>565</v>
      </c>
      <c r="D1171" s="35"/>
      <c r="E1171" s="37"/>
      <c r="F1171" s="38"/>
      <c r="G1171" s="38" t="s">
        <v>576</v>
      </c>
      <c r="H1171" s="38">
        <f>H1180</f>
        <v>42257</v>
      </c>
      <c r="I1171" s="38">
        <f t="shared" ref="I1171:P1171" si="317">I1180</f>
        <v>42317</v>
      </c>
      <c r="J1171" s="38">
        <f t="shared" si="317"/>
        <v>45970</v>
      </c>
      <c r="K1171" s="38">
        <f t="shared" si="317"/>
        <v>0</v>
      </c>
      <c r="L1171" s="38">
        <f t="shared" si="317"/>
        <v>49480</v>
      </c>
      <c r="M1171" s="38">
        <f t="shared" si="317"/>
        <v>0</v>
      </c>
      <c r="N1171" s="38">
        <f t="shared" si="317"/>
        <v>52490</v>
      </c>
      <c r="O1171" s="38">
        <f t="shared" si="317"/>
        <v>55600</v>
      </c>
      <c r="P1171" s="66">
        <f t="shared" si="317"/>
        <v>60450</v>
      </c>
    </row>
    <row r="1172" spans="3:16" x14ac:dyDescent="0.25">
      <c r="C1172" s="138"/>
      <c r="D1172" s="139">
        <v>610</v>
      </c>
      <c r="E1172" s="140"/>
      <c r="F1172" s="140"/>
      <c r="G1172" s="140" t="s">
        <v>610</v>
      </c>
      <c r="H1172" s="141">
        <v>24816.9</v>
      </c>
      <c r="I1172" s="141">
        <v>26463.89</v>
      </c>
      <c r="J1172" s="141">
        <v>24140</v>
      </c>
      <c r="K1172" s="141"/>
      <c r="L1172" s="141">
        <v>30372.5</v>
      </c>
      <c r="M1172" s="141"/>
      <c r="N1172" s="141">
        <v>33570</v>
      </c>
      <c r="O1172" s="141">
        <v>35830</v>
      </c>
      <c r="P1172" s="141">
        <v>39410</v>
      </c>
    </row>
    <row r="1173" spans="3:16" x14ac:dyDescent="0.25">
      <c r="C1173" s="142"/>
      <c r="D1173" s="117">
        <v>620</v>
      </c>
      <c r="E1173" s="6"/>
      <c r="F1173" s="6"/>
      <c r="G1173" s="6" t="s">
        <v>689</v>
      </c>
      <c r="H1173" s="105">
        <v>8343.2199999999993</v>
      </c>
      <c r="I1173" s="105">
        <v>8936.25</v>
      </c>
      <c r="J1173" s="105">
        <v>8420</v>
      </c>
      <c r="K1173" s="105"/>
      <c r="L1173" s="105">
        <v>10014</v>
      </c>
      <c r="M1173" s="105"/>
      <c r="N1173" s="105">
        <v>11810</v>
      </c>
      <c r="O1173" s="105">
        <v>12610</v>
      </c>
      <c r="P1173" s="105">
        <v>13870</v>
      </c>
    </row>
    <row r="1174" spans="3:16" x14ac:dyDescent="0.25">
      <c r="C1174" s="142"/>
      <c r="D1174" s="117">
        <v>631</v>
      </c>
      <c r="E1174" s="6"/>
      <c r="F1174" s="6"/>
      <c r="G1174" s="6" t="s">
        <v>676</v>
      </c>
      <c r="H1174" s="105">
        <v>0</v>
      </c>
      <c r="I1174" s="105">
        <v>0</v>
      </c>
      <c r="J1174" s="105">
        <v>100</v>
      </c>
      <c r="K1174" s="105"/>
      <c r="L1174" s="105">
        <v>0</v>
      </c>
      <c r="M1174" s="105"/>
      <c r="N1174" s="105">
        <v>0</v>
      </c>
      <c r="O1174" s="105">
        <v>0</v>
      </c>
      <c r="P1174" s="105">
        <v>0</v>
      </c>
    </row>
    <row r="1175" spans="3:16" x14ac:dyDescent="0.25">
      <c r="C1175" s="142"/>
      <c r="D1175" s="117">
        <v>632</v>
      </c>
      <c r="E1175" s="6"/>
      <c r="F1175" s="6"/>
      <c r="G1175" s="6" t="s">
        <v>567</v>
      </c>
      <c r="H1175" s="105">
        <v>6633.57</v>
      </c>
      <c r="I1175" s="105">
        <v>4813.6400000000003</v>
      </c>
      <c r="J1175" s="105">
        <v>4960</v>
      </c>
      <c r="K1175" s="105"/>
      <c r="L1175" s="105">
        <v>7079</v>
      </c>
      <c r="M1175" s="105"/>
      <c r="N1175" s="105">
        <v>3960</v>
      </c>
      <c r="O1175" s="105">
        <v>4000</v>
      </c>
      <c r="P1175" s="105">
        <v>4000</v>
      </c>
    </row>
    <row r="1176" spans="3:16" x14ac:dyDescent="0.25">
      <c r="C1176" s="142"/>
      <c r="D1176" s="118">
        <v>633</v>
      </c>
      <c r="E1176" s="119"/>
      <c r="F1176" s="119"/>
      <c r="G1176" s="6" t="s">
        <v>471</v>
      </c>
      <c r="H1176" s="120">
        <v>1510.17</v>
      </c>
      <c r="I1176" s="120">
        <v>1275</v>
      </c>
      <c r="J1176" s="120">
        <v>7200</v>
      </c>
      <c r="K1176" s="120"/>
      <c r="L1176" s="120">
        <v>864.5</v>
      </c>
      <c r="M1176" s="120"/>
      <c r="N1176" s="120">
        <v>2200</v>
      </c>
      <c r="O1176" s="120">
        <v>2200</v>
      </c>
      <c r="P1176" s="120">
        <v>2200</v>
      </c>
    </row>
    <row r="1177" spans="3:16" x14ac:dyDescent="0.25">
      <c r="C1177" s="151"/>
      <c r="D1177" s="106">
        <v>635</v>
      </c>
      <c r="E1177" s="6"/>
      <c r="F1177" s="6"/>
      <c r="G1177" s="6" t="s">
        <v>568</v>
      </c>
      <c r="H1177" s="105">
        <v>0</v>
      </c>
      <c r="I1177" s="105">
        <v>0</v>
      </c>
      <c r="J1177" s="105">
        <v>200</v>
      </c>
      <c r="K1177" s="105"/>
      <c r="L1177" s="105">
        <v>200</v>
      </c>
      <c r="M1177" s="105"/>
      <c r="N1177" s="105">
        <v>0</v>
      </c>
      <c r="O1177" s="105">
        <v>0</v>
      </c>
      <c r="P1177" s="105">
        <v>0</v>
      </c>
    </row>
    <row r="1178" spans="3:16" x14ac:dyDescent="0.25">
      <c r="C1178" s="151"/>
      <c r="D1178" s="106">
        <v>637</v>
      </c>
      <c r="E1178" s="6"/>
      <c r="F1178" s="6"/>
      <c r="G1178" s="6" t="s">
        <v>479</v>
      </c>
      <c r="H1178" s="105">
        <v>953.14</v>
      </c>
      <c r="I1178" s="105">
        <v>828.22</v>
      </c>
      <c r="J1178" s="105">
        <v>950</v>
      </c>
      <c r="K1178" s="105"/>
      <c r="L1178" s="105">
        <v>950</v>
      </c>
      <c r="M1178" s="105"/>
      <c r="N1178" s="105">
        <v>950</v>
      </c>
      <c r="O1178" s="105">
        <v>960</v>
      </c>
      <c r="P1178" s="105">
        <v>970</v>
      </c>
    </row>
    <row r="1179" spans="3:16" x14ac:dyDescent="0.25">
      <c r="C1179" s="151"/>
      <c r="D1179" s="106">
        <v>642</v>
      </c>
      <c r="E1179" s="6"/>
      <c r="F1179" s="6"/>
      <c r="G1179" s="6" t="s">
        <v>705</v>
      </c>
      <c r="H1179" s="105">
        <v>0</v>
      </c>
      <c r="I1179" s="105">
        <v>0</v>
      </c>
      <c r="J1179" s="105">
        <v>0</v>
      </c>
      <c r="K1179" s="105"/>
      <c r="L1179" s="105">
        <v>0</v>
      </c>
      <c r="M1179" s="105"/>
      <c r="N1179" s="105">
        <v>0</v>
      </c>
      <c r="O1179" s="105">
        <v>0</v>
      </c>
      <c r="P1179" s="105">
        <v>0</v>
      </c>
    </row>
    <row r="1180" spans="3:16" ht="15.75" thickBot="1" x14ac:dyDescent="0.3">
      <c r="C1180" s="143"/>
      <c r="D1180" s="152">
        <v>600</v>
      </c>
      <c r="E1180" s="153"/>
      <c r="F1180" s="153"/>
      <c r="G1180" s="153" t="s">
        <v>577</v>
      </c>
      <c r="H1180" s="154">
        <f>SUM(H1172:H1179)</f>
        <v>42257</v>
      </c>
      <c r="I1180" s="154">
        <f>SUM(I1172:I1179)</f>
        <v>42317</v>
      </c>
      <c r="J1180" s="154">
        <f>SUM(J1172:J1179)</f>
        <v>45970</v>
      </c>
      <c r="K1180" s="154">
        <f>SUM(K1172:K1178)</f>
        <v>0</v>
      </c>
      <c r="L1180" s="154">
        <f>SUM(L1172:L1179)</f>
        <v>49480</v>
      </c>
      <c r="M1180" s="154">
        <f>SUM(M1172:M1178)</f>
        <v>0</v>
      </c>
      <c r="N1180" s="154">
        <f>SUM(N1172:N1179)</f>
        <v>52490</v>
      </c>
      <c r="O1180" s="154">
        <f>SUM(O1172:O1179)</f>
        <v>55600</v>
      </c>
      <c r="P1180" s="155">
        <f>SUM(P1172:P1179)</f>
        <v>60450</v>
      </c>
    </row>
    <row r="1181" spans="3:16" ht="15.75" thickBot="1" x14ac:dyDescent="0.3">
      <c r="C1181" s="34"/>
      <c r="D1181" s="35"/>
      <c r="E1181" s="37"/>
      <c r="F1181" s="38"/>
      <c r="G1181" s="38" t="s">
        <v>706</v>
      </c>
      <c r="H1181" s="38">
        <f>H1191</f>
        <v>30472.210000000003</v>
      </c>
      <c r="I1181" s="38">
        <f t="shared" ref="I1181:P1181" si="318">I1191</f>
        <v>33073.07</v>
      </c>
      <c r="J1181" s="38">
        <f t="shared" si="318"/>
        <v>32500</v>
      </c>
      <c r="K1181" s="38">
        <f t="shared" si="318"/>
        <v>0</v>
      </c>
      <c r="L1181" s="38">
        <f t="shared" si="318"/>
        <v>34918</v>
      </c>
      <c r="M1181" s="38">
        <f t="shared" si="318"/>
        <v>0</v>
      </c>
      <c r="N1181" s="38">
        <f t="shared" si="318"/>
        <v>39500</v>
      </c>
      <c r="O1181" s="38">
        <f t="shared" si="318"/>
        <v>39500</v>
      </c>
      <c r="P1181" s="38">
        <f t="shared" si="318"/>
        <v>39500</v>
      </c>
    </row>
    <row r="1182" spans="3:16" x14ac:dyDescent="0.25">
      <c r="C1182" s="238"/>
      <c r="D1182" s="241"/>
      <c r="G1182" s="140" t="s">
        <v>578</v>
      </c>
      <c r="H1182" s="141">
        <v>1909</v>
      </c>
      <c r="I1182" s="141"/>
      <c r="J1182" s="141">
        <v>1750</v>
      </c>
      <c r="K1182" s="141"/>
      <c r="L1182" s="141">
        <v>747</v>
      </c>
      <c r="M1182" s="141"/>
      <c r="N1182" s="141">
        <v>1750</v>
      </c>
      <c r="O1182" s="141">
        <v>1750</v>
      </c>
      <c r="P1182" s="141">
        <v>1750</v>
      </c>
    </row>
    <row r="1183" spans="3:16" x14ac:dyDescent="0.25">
      <c r="C1183" s="238"/>
      <c r="D1183" s="241"/>
      <c r="G1183" s="6" t="s">
        <v>579</v>
      </c>
      <c r="H1183" s="105">
        <v>1799</v>
      </c>
      <c r="I1183" s="105"/>
      <c r="J1183" s="105">
        <v>0</v>
      </c>
      <c r="K1183" s="105"/>
      <c r="L1183" s="105">
        <v>0</v>
      </c>
      <c r="M1183" s="105"/>
      <c r="N1183" s="105">
        <v>0</v>
      </c>
      <c r="O1183" s="105">
        <v>0</v>
      </c>
      <c r="P1183" s="105">
        <v>0</v>
      </c>
    </row>
    <row r="1184" spans="3:16" x14ac:dyDescent="0.25">
      <c r="C1184" s="238"/>
      <c r="D1184" s="241"/>
      <c r="G1184" s="6" t="s">
        <v>696</v>
      </c>
      <c r="H1184" s="105">
        <v>8099.01</v>
      </c>
      <c r="I1184" s="105"/>
      <c r="J1184" s="105">
        <v>8000</v>
      </c>
      <c r="K1184" s="105"/>
      <c r="L1184" s="105">
        <v>5249</v>
      </c>
      <c r="M1184" s="105"/>
      <c r="N1184" s="105">
        <v>8000</v>
      </c>
      <c r="O1184" s="105">
        <v>8000</v>
      </c>
      <c r="P1184" s="105">
        <v>8000</v>
      </c>
    </row>
    <row r="1185" spans="3:18" x14ac:dyDescent="0.25">
      <c r="C1185" s="238"/>
      <c r="D1185" s="241"/>
      <c r="G1185" s="6" t="s">
        <v>697</v>
      </c>
      <c r="H1185" s="105">
        <v>0</v>
      </c>
      <c r="I1185" s="105"/>
      <c r="J1185" s="105">
        <v>0</v>
      </c>
      <c r="K1185" s="105"/>
      <c r="L1185" s="105">
        <v>7022</v>
      </c>
      <c r="M1185" s="105"/>
      <c r="N1185" s="105">
        <v>7000</v>
      </c>
      <c r="O1185" s="105">
        <v>7000</v>
      </c>
      <c r="P1185" s="105">
        <v>7000</v>
      </c>
    </row>
    <row r="1186" spans="3:18" x14ac:dyDescent="0.25">
      <c r="C1186" s="238"/>
      <c r="D1186" s="241"/>
      <c r="G1186" s="6" t="s">
        <v>698</v>
      </c>
      <c r="H1186" s="105">
        <v>132</v>
      </c>
      <c r="I1186" s="105"/>
      <c r="J1186" s="105">
        <v>150</v>
      </c>
      <c r="K1186" s="105"/>
      <c r="L1186" s="105">
        <v>150</v>
      </c>
      <c r="M1186" s="105"/>
      <c r="N1186" s="105">
        <v>150</v>
      </c>
      <c r="O1186" s="105">
        <v>150</v>
      </c>
      <c r="P1186" s="105">
        <v>150</v>
      </c>
    </row>
    <row r="1187" spans="3:18" x14ac:dyDescent="0.25">
      <c r="C1187" s="238"/>
      <c r="D1187" s="241"/>
      <c r="G1187" s="6" t="s">
        <v>699</v>
      </c>
      <c r="H1187" s="105">
        <v>7776</v>
      </c>
      <c r="I1187" s="105"/>
      <c r="J1187" s="105">
        <v>8300</v>
      </c>
      <c r="K1187" s="105"/>
      <c r="L1187" s="105">
        <v>4950</v>
      </c>
      <c r="M1187" s="105"/>
      <c r="N1187" s="105">
        <v>8300</v>
      </c>
      <c r="O1187" s="105">
        <v>8300</v>
      </c>
      <c r="P1187" s="105">
        <v>8300</v>
      </c>
    </row>
    <row r="1188" spans="3:18" x14ac:dyDescent="0.25">
      <c r="C1188" s="238"/>
      <c r="D1188" s="241"/>
      <c r="G1188" s="6" t="s">
        <v>700</v>
      </c>
      <c r="H1188" s="105">
        <v>3293</v>
      </c>
      <c r="I1188" s="105"/>
      <c r="J1188" s="105">
        <v>5700</v>
      </c>
      <c r="K1188" s="105"/>
      <c r="L1188" s="105">
        <v>5700</v>
      </c>
      <c r="M1188" s="105"/>
      <c r="N1188" s="105">
        <v>5700</v>
      </c>
      <c r="O1188" s="105">
        <v>5700</v>
      </c>
      <c r="P1188" s="105">
        <v>5700</v>
      </c>
    </row>
    <row r="1189" spans="3:18" x14ac:dyDescent="0.25">
      <c r="C1189" s="238"/>
      <c r="D1189" s="241"/>
      <c r="G1189" s="6" t="s">
        <v>701</v>
      </c>
      <c r="H1189" s="105">
        <v>3964.2</v>
      </c>
      <c r="I1189" s="105"/>
      <c r="J1189" s="105">
        <v>2600</v>
      </c>
      <c r="K1189" s="105"/>
      <c r="L1189" s="105">
        <v>5850</v>
      </c>
      <c r="M1189" s="105"/>
      <c r="N1189" s="105">
        <v>2600</v>
      </c>
      <c r="O1189" s="105">
        <v>2600</v>
      </c>
      <c r="P1189" s="105">
        <v>2600</v>
      </c>
    </row>
    <row r="1190" spans="3:18" ht="15.75" thickBot="1" x14ac:dyDescent="0.3">
      <c r="C1190" s="238"/>
      <c r="D1190" s="241"/>
      <c r="G1190" s="6" t="s">
        <v>702</v>
      </c>
      <c r="H1190" s="105">
        <v>3500</v>
      </c>
      <c r="I1190" s="105"/>
      <c r="J1190" s="105">
        <v>6000</v>
      </c>
      <c r="K1190" s="105"/>
      <c r="L1190" s="105">
        <v>5250</v>
      </c>
      <c r="M1190" s="105"/>
      <c r="N1190" s="105">
        <v>6000</v>
      </c>
      <c r="O1190" s="105">
        <v>6000</v>
      </c>
      <c r="P1190" s="105">
        <v>6000</v>
      </c>
    </row>
    <row r="1191" spans="3:18" ht="15.75" thickBot="1" x14ac:dyDescent="0.3">
      <c r="C1191" s="239"/>
      <c r="D1191" s="148">
        <v>600</v>
      </c>
      <c r="E1191" s="149"/>
      <c r="F1191" s="149"/>
      <c r="G1191" s="122" t="s">
        <v>706</v>
      </c>
      <c r="H1191" s="73">
        <f>SUM(H1182:H1190)</f>
        <v>30472.210000000003</v>
      </c>
      <c r="I1191" s="73">
        <v>33073.07</v>
      </c>
      <c r="J1191" s="73">
        <f t="shared" ref="J1191:P1191" si="319">SUM(J1182:J1190)</f>
        <v>32500</v>
      </c>
      <c r="K1191" s="73">
        <f t="shared" si="319"/>
        <v>0</v>
      </c>
      <c r="L1191" s="73">
        <f t="shared" si="319"/>
        <v>34918</v>
      </c>
      <c r="M1191" s="73">
        <f t="shared" si="319"/>
        <v>0</v>
      </c>
      <c r="N1191" s="73">
        <f t="shared" si="319"/>
        <v>39500</v>
      </c>
      <c r="O1191" s="73">
        <f t="shared" si="319"/>
        <v>39500</v>
      </c>
      <c r="P1191" s="73">
        <f t="shared" si="319"/>
        <v>39500</v>
      </c>
    </row>
    <row r="1192" spans="3:18" ht="15.75" thickBot="1" x14ac:dyDescent="0.3">
      <c r="C1192" s="183" t="s">
        <v>565</v>
      </c>
      <c r="D1192" s="162"/>
      <c r="E1192" s="163"/>
      <c r="F1192" s="164"/>
      <c r="G1192" s="164" t="s">
        <v>566</v>
      </c>
      <c r="H1192" s="164">
        <f>H1202+H1203</f>
        <v>301385.66000000009</v>
      </c>
      <c r="I1192" s="164">
        <f t="shared" ref="I1192:P1192" si="320">I1202+I1203</f>
        <v>328395.17999999988</v>
      </c>
      <c r="J1192" s="164">
        <f t="shared" si="320"/>
        <v>362915</v>
      </c>
      <c r="K1192" s="164">
        <f t="shared" si="320"/>
        <v>0</v>
      </c>
      <c r="L1192" s="164">
        <f t="shared" si="320"/>
        <v>354329</v>
      </c>
      <c r="M1192" s="164">
        <f t="shared" si="320"/>
        <v>0</v>
      </c>
      <c r="N1192" s="164">
        <f t="shared" si="320"/>
        <v>395297</v>
      </c>
      <c r="O1192" s="164">
        <f t="shared" si="320"/>
        <v>412884</v>
      </c>
      <c r="P1192" s="164">
        <f t="shared" si="320"/>
        <v>431805</v>
      </c>
    </row>
    <row r="1193" spans="3:18" x14ac:dyDescent="0.25">
      <c r="C1193" s="242"/>
      <c r="D1193" s="139">
        <v>610</v>
      </c>
      <c r="E1193" s="140"/>
      <c r="F1193" s="140"/>
      <c r="G1193" s="140" t="s">
        <v>610</v>
      </c>
      <c r="H1193" s="141">
        <v>197381.61</v>
      </c>
      <c r="I1193" s="141">
        <v>209839.24</v>
      </c>
      <c r="J1193" s="141">
        <v>243765</v>
      </c>
      <c r="K1193" s="141"/>
      <c r="L1193" s="141">
        <v>239247</v>
      </c>
      <c r="M1193" s="141"/>
      <c r="N1193" s="141">
        <v>268949</v>
      </c>
      <c r="O1193" s="141">
        <v>282396</v>
      </c>
      <c r="P1193" s="141">
        <v>296515</v>
      </c>
    </row>
    <row r="1194" spans="3:18" x14ac:dyDescent="0.25">
      <c r="C1194" s="243"/>
      <c r="D1194" s="117">
        <v>620</v>
      </c>
      <c r="E1194" s="6"/>
      <c r="F1194" s="6"/>
      <c r="G1194" s="6" t="s">
        <v>689</v>
      </c>
      <c r="H1194" s="105">
        <v>67533.960000000006</v>
      </c>
      <c r="I1194" s="105">
        <v>73095.009999999995</v>
      </c>
      <c r="J1194" s="105">
        <v>83387</v>
      </c>
      <c r="K1194" s="105"/>
      <c r="L1194" s="105">
        <v>80484</v>
      </c>
      <c r="M1194" s="105"/>
      <c r="N1194" s="105">
        <v>92567</v>
      </c>
      <c r="O1194" s="105">
        <v>97200</v>
      </c>
      <c r="P1194" s="105">
        <v>102050</v>
      </c>
    </row>
    <row r="1195" spans="3:18" x14ac:dyDescent="0.25">
      <c r="C1195" s="243"/>
      <c r="D1195" s="117">
        <v>631</v>
      </c>
      <c r="E1195" s="6"/>
      <c r="F1195" s="6"/>
      <c r="G1195" s="6" t="s">
        <v>676</v>
      </c>
      <c r="H1195" s="105">
        <v>319.2</v>
      </c>
      <c r="I1195" s="105">
        <v>467.93</v>
      </c>
      <c r="J1195" s="105">
        <v>320</v>
      </c>
      <c r="K1195" s="105"/>
      <c r="L1195" s="105">
        <v>400</v>
      </c>
      <c r="M1195" s="105"/>
      <c r="N1195" s="105">
        <v>450</v>
      </c>
      <c r="O1195" s="105">
        <v>450</v>
      </c>
      <c r="P1195" s="105">
        <v>450</v>
      </c>
      <c r="R1195" s="78"/>
    </row>
    <row r="1196" spans="3:18" x14ac:dyDescent="0.25">
      <c r="C1196" s="243"/>
      <c r="D1196" s="117">
        <v>632</v>
      </c>
      <c r="E1196" s="6"/>
      <c r="F1196" s="6"/>
      <c r="G1196" s="6" t="s">
        <v>567</v>
      </c>
      <c r="H1196" s="105">
        <v>10465.34</v>
      </c>
      <c r="I1196" s="105">
        <v>13908.98</v>
      </c>
      <c r="J1196" s="105">
        <v>13585</v>
      </c>
      <c r="K1196" s="105"/>
      <c r="L1196" s="105">
        <v>13585</v>
      </c>
      <c r="M1196" s="105"/>
      <c r="N1196" s="105">
        <v>13665</v>
      </c>
      <c r="O1196" s="105">
        <v>13665</v>
      </c>
      <c r="P1196" s="105">
        <v>13665</v>
      </c>
    </row>
    <row r="1197" spans="3:18" x14ac:dyDescent="0.25">
      <c r="C1197" s="243"/>
      <c r="D1197" s="117">
        <v>633</v>
      </c>
      <c r="E1197" s="6"/>
      <c r="F1197" s="6"/>
      <c r="G1197" s="6" t="s">
        <v>471</v>
      </c>
      <c r="H1197" s="105">
        <v>12611.65</v>
      </c>
      <c r="I1197" s="105">
        <v>19628.78</v>
      </c>
      <c r="J1197" s="105">
        <v>8931</v>
      </c>
      <c r="K1197" s="105"/>
      <c r="L1197" s="105">
        <v>8453</v>
      </c>
      <c r="M1197" s="105"/>
      <c r="N1197" s="105">
        <v>7751</v>
      </c>
      <c r="O1197" s="105">
        <v>7606</v>
      </c>
      <c r="P1197" s="105">
        <v>7556</v>
      </c>
    </row>
    <row r="1198" spans="3:18" x14ac:dyDescent="0.25">
      <c r="C1198" s="243"/>
      <c r="D1198" s="117">
        <v>635</v>
      </c>
      <c r="E1198" s="6"/>
      <c r="F1198" s="6"/>
      <c r="G1198" s="6" t="s">
        <v>568</v>
      </c>
      <c r="H1198" s="105">
        <v>2512.15</v>
      </c>
      <c r="I1198" s="105">
        <v>712.85</v>
      </c>
      <c r="J1198" s="105">
        <v>1030</v>
      </c>
      <c r="K1198" s="105"/>
      <c r="L1198" s="105">
        <v>1180</v>
      </c>
      <c r="M1198" s="105"/>
      <c r="N1198" s="105">
        <v>1000</v>
      </c>
      <c r="O1198" s="105">
        <v>600</v>
      </c>
      <c r="P1198" s="105">
        <v>550</v>
      </c>
      <c r="Q1198" s="78"/>
    </row>
    <row r="1199" spans="3:18" x14ac:dyDescent="0.25">
      <c r="C1199" s="243"/>
      <c r="D1199" s="117">
        <v>636</v>
      </c>
      <c r="E1199" s="6"/>
      <c r="F1199" s="6"/>
      <c r="G1199" s="6" t="s">
        <v>704</v>
      </c>
      <c r="H1199" s="105">
        <v>88</v>
      </c>
      <c r="I1199" s="105">
        <v>92.8</v>
      </c>
      <c r="J1199" s="105">
        <v>63</v>
      </c>
      <c r="K1199" s="105"/>
      <c r="L1199" s="105">
        <v>63</v>
      </c>
      <c r="M1199" s="105"/>
      <c r="N1199" s="105">
        <v>74</v>
      </c>
      <c r="O1199" s="105">
        <v>74</v>
      </c>
      <c r="P1199" s="105">
        <v>74</v>
      </c>
    </row>
    <row r="1200" spans="3:18" x14ac:dyDescent="0.25">
      <c r="C1200" s="243"/>
      <c r="D1200" s="117">
        <v>637</v>
      </c>
      <c r="E1200" s="6"/>
      <c r="F1200" s="6"/>
      <c r="G1200" s="6" t="s">
        <v>479</v>
      </c>
      <c r="H1200" s="105">
        <v>10037.59</v>
      </c>
      <c r="I1200" s="105">
        <v>10138.299999999999</v>
      </c>
      <c r="J1200" s="105">
        <v>11434</v>
      </c>
      <c r="K1200" s="105"/>
      <c r="L1200" s="105">
        <v>10517</v>
      </c>
      <c r="M1200" s="105"/>
      <c r="N1200" s="105">
        <v>10421</v>
      </c>
      <c r="O1200" s="105">
        <v>10473</v>
      </c>
      <c r="P1200" s="105">
        <v>10525</v>
      </c>
    </row>
    <row r="1201" spans="3:18" ht="15.75" thickBot="1" x14ac:dyDescent="0.3">
      <c r="C1201" s="243"/>
      <c r="D1201" s="118">
        <v>642</v>
      </c>
      <c r="E1201" s="119"/>
      <c r="F1201" s="119"/>
      <c r="G1201" s="119" t="s">
        <v>705</v>
      </c>
      <c r="H1201" s="120">
        <v>436.16</v>
      </c>
      <c r="I1201" s="120">
        <v>511.29</v>
      </c>
      <c r="J1201" s="120">
        <v>400</v>
      </c>
      <c r="K1201" s="120"/>
      <c r="L1201" s="120">
        <v>400</v>
      </c>
      <c r="M1201" s="120"/>
      <c r="N1201" s="120">
        <v>420</v>
      </c>
      <c r="O1201" s="120">
        <v>420</v>
      </c>
      <c r="P1201" s="120">
        <v>420</v>
      </c>
    </row>
    <row r="1202" spans="3:18" ht="15.75" thickBot="1" x14ac:dyDescent="0.3">
      <c r="C1202" s="243"/>
      <c r="D1202" s="69">
        <v>600</v>
      </c>
      <c r="E1202" s="122"/>
      <c r="F1202" s="122"/>
      <c r="G1202" s="122" t="s">
        <v>569</v>
      </c>
      <c r="H1202" s="73">
        <f>SUM(H1193:H1201)</f>
        <v>301385.66000000009</v>
      </c>
      <c r="I1202" s="73">
        <f t="shared" ref="I1202" si="321">SUM(I1193:I1201)</f>
        <v>328395.17999999988</v>
      </c>
      <c r="J1202" s="73">
        <f t="shared" ref="J1202" si="322">SUM(J1193:J1201)</f>
        <v>362915</v>
      </c>
      <c r="K1202" s="73">
        <f t="shared" ref="K1202" si="323">SUM(K1193:K1201)</f>
        <v>0</v>
      </c>
      <c r="L1202" s="73">
        <f t="shared" ref="L1202" si="324">SUM(L1193:L1201)</f>
        <v>354329</v>
      </c>
      <c r="M1202" s="73">
        <f t="shared" ref="M1202" si="325">SUM(M1193:M1201)</f>
        <v>0</v>
      </c>
      <c r="N1202" s="73">
        <f t="shared" ref="N1202" si="326">SUM(N1193:N1201)</f>
        <v>395297</v>
      </c>
      <c r="O1202" s="73">
        <v>412884</v>
      </c>
      <c r="P1202" s="123">
        <f t="shared" ref="P1202" si="327">SUM(P1193:P1201)</f>
        <v>431805</v>
      </c>
    </row>
    <row r="1203" spans="3:18" ht="15.75" thickBot="1" x14ac:dyDescent="0.3">
      <c r="C1203" s="244"/>
      <c r="D1203" s="69"/>
      <c r="E1203" s="122"/>
      <c r="F1203" s="122"/>
      <c r="G1203" s="122"/>
      <c r="H1203" s="73"/>
      <c r="I1203" s="73"/>
      <c r="J1203" s="73"/>
      <c r="K1203" s="73"/>
      <c r="L1203" s="73"/>
      <c r="M1203" s="73"/>
      <c r="N1203" s="73"/>
      <c r="O1203" s="73"/>
      <c r="P1203" s="123"/>
    </row>
    <row r="1204" spans="3:18" ht="15.75" thickBot="1" x14ac:dyDescent="0.3">
      <c r="C1204" s="161" t="s">
        <v>570</v>
      </c>
      <c r="D1204" s="162"/>
      <c r="E1204" s="163"/>
      <c r="F1204" s="164"/>
      <c r="G1204" s="164" t="s">
        <v>571</v>
      </c>
      <c r="H1204" s="164">
        <f>H1213</f>
        <v>321150.32999999996</v>
      </c>
      <c r="I1204" s="164">
        <f t="shared" ref="I1204:P1204" si="328">I1213</f>
        <v>377247.27999999997</v>
      </c>
      <c r="J1204" s="164">
        <f t="shared" si="328"/>
        <v>410962</v>
      </c>
      <c r="K1204" s="164">
        <f t="shared" si="328"/>
        <v>0</v>
      </c>
      <c r="L1204" s="164">
        <f t="shared" si="328"/>
        <v>410962</v>
      </c>
      <c r="M1204" s="164">
        <f t="shared" si="328"/>
        <v>0</v>
      </c>
      <c r="N1204" s="164">
        <f>N1213</f>
        <v>435658</v>
      </c>
      <c r="O1204" s="164">
        <f t="shared" si="328"/>
        <v>467270</v>
      </c>
      <c r="P1204" s="165">
        <f t="shared" si="328"/>
        <v>487270</v>
      </c>
    </row>
    <row r="1205" spans="3:18" x14ac:dyDescent="0.25">
      <c r="C1205" s="233"/>
      <c r="D1205" s="139">
        <v>610</v>
      </c>
      <c r="E1205" s="140"/>
      <c r="F1205" s="140"/>
      <c r="G1205" s="140" t="s">
        <v>610</v>
      </c>
      <c r="H1205" s="141">
        <v>159089.32999999999</v>
      </c>
      <c r="I1205" s="141">
        <v>193455.05</v>
      </c>
      <c r="J1205" s="141">
        <v>225000</v>
      </c>
      <c r="K1205" s="141"/>
      <c r="L1205" s="141">
        <v>218550</v>
      </c>
      <c r="M1205" s="141"/>
      <c r="N1205" s="141">
        <v>239000</v>
      </c>
      <c r="O1205" s="141">
        <v>259000</v>
      </c>
      <c r="P1205" s="141">
        <v>271000</v>
      </c>
    </row>
    <row r="1206" spans="3:18" x14ac:dyDescent="0.25">
      <c r="C1206" s="234"/>
      <c r="D1206" s="117">
        <v>620</v>
      </c>
      <c r="E1206" s="6"/>
      <c r="F1206" s="6"/>
      <c r="G1206" s="6" t="s">
        <v>689</v>
      </c>
      <c r="H1206" s="105">
        <v>53692</v>
      </c>
      <c r="I1206" s="105">
        <v>66977.66</v>
      </c>
      <c r="J1206" s="105">
        <v>74652</v>
      </c>
      <c r="K1206" s="105"/>
      <c r="L1206" s="105">
        <v>73622</v>
      </c>
      <c r="M1206" s="105"/>
      <c r="N1206" s="105">
        <v>82148</v>
      </c>
      <c r="O1206" s="105">
        <v>89610</v>
      </c>
      <c r="P1206" s="105">
        <v>94010</v>
      </c>
    </row>
    <row r="1207" spans="3:18" x14ac:dyDescent="0.25">
      <c r="C1207" s="234"/>
      <c r="D1207" s="117">
        <v>632</v>
      </c>
      <c r="E1207" s="6"/>
      <c r="F1207" s="6"/>
      <c r="G1207" s="6" t="s">
        <v>567</v>
      </c>
      <c r="H1207" s="105">
        <v>29510</v>
      </c>
      <c r="I1207" s="105">
        <v>31603.06</v>
      </c>
      <c r="J1207" s="105">
        <v>30810</v>
      </c>
      <c r="K1207" s="105"/>
      <c r="L1207" s="105">
        <v>31452</v>
      </c>
      <c r="M1207" s="105"/>
      <c r="N1207" s="105">
        <v>32320</v>
      </c>
      <c r="O1207" s="105">
        <v>33320</v>
      </c>
      <c r="P1207" s="105">
        <v>33320</v>
      </c>
      <c r="R1207" s="31"/>
    </row>
    <row r="1208" spans="3:18" x14ac:dyDescent="0.25">
      <c r="C1208" s="234"/>
      <c r="D1208" s="118">
        <v>633</v>
      </c>
      <c r="E1208" s="119"/>
      <c r="F1208" s="119"/>
      <c r="G1208" s="6" t="s">
        <v>471</v>
      </c>
      <c r="H1208" s="120">
        <v>65155</v>
      </c>
      <c r="I1208" s="120">
        <v>67143.87</v>
      </c>
      <c r="J1208" s="120">
        <v>66400</v>
      </c>
      <c r="K1208" s="120"/>
      <c r="L1208" s="120">
        <v>73350</v>
      </c>
      <c r="M1208" s="120"/>
      <c r="N1208" s="120">
        <v>68300</v>
      </c>
      <c r="O1208" s="120">
        <v>70300</v>
      </c>
      <c r="P1208" s="120">
        <v>70300</v>
      </c>
    </row>
    <row r="1209" spans="3:18" x14ac:dyDescent="0.25">
      <c r="C1209" s="234"/>
      <c r="D1209" s="118">
        <v>634</v>
      </c>
      <c r="E1209" s="119"/>
      <c r="F1209" s="119"/>
      <c r="G1209" s="119" t="s">
        <v>711</v>
      </c>
      <c r="H1209" s="120">
        <v>0</v>
      </c>
      <c r="I1209" s="120">
        <v>1011.75</v>
      </c>
      <c r="J1209" s="120">
        <v>0</v>
      </c>
      <c r="K1209" s="120"/>
      <c r="L1209" s="120">
        <v>0</v>
      </c>
      <c r="M1209" s="120"/>
      <c r="N1209" s="120">
        <v>0</v>
      </c>
      <c r="O1209" s="120">
        <v>0</v>
      </c>
      <c r="P1209" s="120">
        <v>0</v>
      </c>
    </row>
    <row r="1210" spans="3:18" x14ac:dyDescent="0.25">
      <c r="C1210" s="234"/>
      <c r="D1210" s="117">
        <v>635</v>
      </c>
      <c r="E1210" s="6"/>
      <c r="F1210" s="6"/>
      <c r="G1210" s="6" t="s">
        <v>568</v>
      </c>
      <c r="H1210" s="105">
        <v>679</v>
      </c>
      <c r="I1210" s="105">
        <v>3242.56</v>
      </c>
      <c r="J1210" s="105">
        <v>2200</v>
      </c>
      <c r="K1210" s="105"/>
      <c r="L1210" s="105">
        <v>2750</v>
      </c>
      <c r="M1210" s="105"/>
      <c r="N1210" s="105">
        <v>2100</v>
      </c>
      <c r="O1210" s="105">
        <v>2100</v>
      </c>
      <c r="P1210" s="105">
        <v>2100</v>
      </c>
    </row>
    <row r="1211" spans="3:18" x14ac:dyDescent="0.25">
      <c r="C1211" s="234"/>
      <c r="D1211" s="117">
        <v>637</v>
      </c>
      <c r="E1211" s="6"/>
      <c r="F1211" s="6"/>
      <c r="G1211" s="6" t="s">
        <v>479</v>
      </c>
      <c r="H1211" s="105">
        <v>12424</v>
      </c>
      <c r="I1211" s="105">
        <v>13561.92</v>
      </c>
      <c r="J1211" s="105">
        <v>11500</v>
      </c>
      <c r="K1211" s="105"/>
      <c r="L1211" s="105">
        <v>10838</v>
      </c>
      <c r="M1211" s="105"/>
      <c r="N1211" s="105">
        <v>11390</v>
      </c>
      <c r="O1211" s="105">
        <v>12540</v>
      </c>
      <c r="P1211" s="105">
        <v>16140</v>
      </c>
    </row>
    <row r="1212" spans="3:18" x14ac:dyDescent="0.25">
      <c r="C1212" s="234"/>
      <c r="D1212" s="117">
        <v>642</v>
      </c>
      <c r="E1212" s="6"/>
      <c r="F1212" s="6"/>
      <c r="G1212" s="6" t="s">
        <v>705</v>
      </c>
      <c r="H1212" s="105">
        <v>601</v>
      </c>
      <c r="I1212" s="105">
        <v>251.41</v>
      </c>
      <c r="J1212" s="105">
        <v>400</v>
      </c>
      <c r="K1212" s="105"/>
      <c r="L1212" s="105">
        <v>400</v>
      </c>
      <c r="M1212" s="105"/>
      <c r="N1212" s="105">
        <v>400</v>
      </c>
      <c r="O1212" s="105">
        <v>400</v>
      </c>
      <c r="P1212" s="105">
        <v>400</v>
      </c>
    </row>
    <row r="1213" spans="3:18" ht="15.75" thickBot="1" x14ac:dyDescent="0.3">
      <c r="C1213" s="234"/>
      <c r="D1213" s="152">
        <v>600</v>
      </c>
      <c r="E1213" s="153"/>
      <c r="F1213" s="153"/>
      <c r="G1213" s="153" t="s">
        <v>572</v>
      </c>
      <c r="H1213" s="154">
        <f>SUM(H1205:H1212)</f>
        <v>321150.32999999996</v>
      </c>
      <c r="I1213" s="154">
        <f>SUM(I1205:I1212)</f>
        <v>377247.27999999997</v>
      </c>
      <c r="J1213" s="154">
        <f>SUM(J1205:J1212)</f>
        <v>410962</v>
      </c>
      <c r="K1213" s="154">
        <f>SUM(K1205:K1211)</f>
        <v>0</v>
      </c>
      <c r="L1213" s="154">
        <f>SUM(L1205:L1212)</f>
        <v>410962</v>
      </c>
      <c r="M1213" s="154">
        <f>SUM(M1205:M1211)</f>
        <v>0</v>
      </c>
      <c r="N1213" s="154">
        <f>SUM(N1205:N1212)</f>
        <v>435658</v>
      </c>
      <c r="O1213" s="154">
        <f>SUM(O1205:O1212)</f>
        <v>467270</v>
      </c>
      <c r="P1213" s="155">
        <f>SUM(P1205:P1212)</f>
        <v>487270</v>
      </c>
    </row>
    <row r="1214" spans="3:18" ht="15.75" thickBot="1" x14ac:dyDescent="0.3">
      <c r="C1214" s="235" t="s">
        <v>739</v>
      </c>
      <c r="D1214" s="236"/>
      <c r="E1214" s="236"/>
      <c r="F1214" s="236"/>
      <c r="G1214" s="236"/>
      <c r="H1214" s="180">
        <f t="shared" ref="H1214:P1214" si="329">H1104+H1107+H1159+H1192+H1204</f>
        <v>4283167.74</v>
      </c>
      <c r="I1214" s="180">
        <f t="shared" si="329"/>
        <v>4907375.6399999997</v>
      </c>
      <c r="J1214" s="180">
        <f t="shared" si="329"/>
        <v>5133772</v>
      </c>
      <c r="K1214" s="180">
        <f t="shared" si="329"/>
        <v>2638226.6</v>
      </c>
      <c r="L1214" s="180">
        <f t="shared" si="329"/>
        <v>5142708.545726914</v>
      </c>
      <c r="M1214" s="180">
        <f t="shared" si="329"/>
        <v>1829406.68</v>
      </c>
      <c r="N1214" s="180">
        <f>N1204+N1192+N1159+N1107+N1104</f>
        <v>5767242.3700000001</v>
      </c>
      <c r="O1214" s="180">
        <f t="shared" si="329"/>
        <v>6020231.79</v>
      </c>
      <c r="P1214" s="180">
        <f t="shared" si="329"/>
        <v>6196443.79</v>
      </c>
    </row>
    <row r="1215" spans="3:18" x14ac:dyDescent="0.25">
      <c r="O1215" s="199">
        <v>6579198</v>
      </c>
      <c r="P1215" s="199">
        <v>6713927</v>
      </c>
    </row>
    <row r="1216" spans="3:18" hidden="1" outlineLevel="1" x14ac:dyDescent="0.25">
      <c r="O1216" s="78">
        <f>O1214-O1215</f>
        <v>-558966.21</v>
      </c>
      <c r="P1216" s="78">
        <f>P1214-P1215</f>
        <v>-517483.20999999996</v>
      </c>
    </row>
    <row r="1217" spans="3:20" hidden="1" outlineLevel="1" x14ac:dyDescent="0.25"/>
    <row r="1218" spans="3:20" hidden="1" outlineLevel="1" x14ac:dyDescent="0.25">
      <c r="I1218" s="78"/>
      <c r="N1218" s="105">
        <f>N1214</f>
        <v>5767242.3700000001</v>
      </c>
      <c r="O1218" s="6" t="s">
        <v>737</v>
      </c>
      <c r="P1218" s="6"/>
      <c r="T1218" s="6"/>
    </row>
    <row r="1219" spans="3:20" hidden="1" outlineLevel="1" x14ac:dyDescent="0.25">
      <c r="I1219" s="78"/>
      <c r="N1219" s="105" t="e">
        <f>#REF!</f>
        <v>#REF!</v>
      </c>
      <c r="O1219" s="6" t="s">
        <v>712</v>
      </c>
      <c r="P1219" s="105" t="e">
        <f>#REF!</f>
        <v>#REF!</v>
      </c>
      <c r="Q1219" s="6"/>
      <c r="R1219" s="6"/>
      <c r="S1219" s="6"/>
      <c r="T1219" s="105" t="e">
        <f>#REF!</f>
        <v>#REF!</v>
      </c>
    </row>
    <row r="1220" spans="3:20" hidden="1" outlineLevel="1" x14ac:dyDescent="0.25">
      <c r="I1220" s="78"/>
      <c r="N1220" s="105">
        <f>FO!N6</f>
        <v>38796.410000000003</v>
      </c>
      <c r="O1220" s="6" t="s">
        <v>738</v>
      </c>
      <c r="P1220" s="105">
        <f>FO!O6</f>
        <v>22801.72</v>
      </c>
      <c r="Q1220" s="6"/>
      <c r="R1220" s="6"/>
      <c r="S1220" s="6"/>
      <c r="T1220" s="105">
        <f>FO!P6</f>
        <v>22333.38</v>
      </c>
    </row>
    <row r="1221" spans="3:20" hidden="1" outlineLevel="1" x14ac:dyDescent="0.25">
      <c r="I1221" s="78"/>
      <c r="N1221" s="105" t="e">
        <f>SUM(N1218:N1220)</f>
        <v>#REF!</v>
      </c>
      <c r="O1221" s="6" t="s">
        <v>708</v>
      </c>
      <c r="P1221" s="105" t="e">
        <f>O1214+P1219+P1220</f>
        <v>#REF!</v>
      </c>
      <c r="Q1221" s="6"/>
      <c r="R1221" s="6"/>
      <c r="S1221" s="6"/>
      <c r="T1221" s="105" t="e">
        <f>P1214+T1219+T1220</f>
        <v>#REF!</v>
      </c>
    </row>
    <row r="1222" spans="3:20" hidden="1" outlineLevel="1" x14ac:dyDescent="0.25">
      <c r="I1222" s="78"/>
      <c r="N1222" s="105">
        <v>6616789</v>
      </c>
      <c r="O1222" s="6" t="s">
        <v>707</v>
      </c>
      <c r="P1222" s="6">
        <f>O1215</f>
        <v>6579198</v>
      </c>
      <c r="Q1222" s="105">
        <f>P1214+Q1220+Q1221</f>
        <v>6196443.79</v>
      </c>
      <c r="R1222" s="105">
        <f t="shared" ref="R1222:S1222" si="330">Q1215+R1220+R1221</f>
        <v>0</v>
      </c>
      <c r="S1222" s="105">
        <f t="shared" si="330"/>
        <v>0</v>
      </c>
      <c r="T1222" s="6">
        <f>P1215</f>
        <v>6713927</v>
      </c>
    </row>
    <row r="1223" spans="3:20" hidden="1" outlineLevel="1" x14ac:dyDescent="0.25">
      <c r="N1223" s="105" t="e">
        <f>N1222-N1221</f>
        <v>#REF!</v>
      </c>
      <c r="O1223" s="6"/>
      <c r="P1223" s="105" t="e">
        <f>P1222-P1221</f>
        <v>#REF!</v>
      </c>
      <c r="Q1223" s="6">
        <f>P1215</f>
        <v>6713927</v>
      </c>
      <c r="R1223" s="6">
        <f t="shared" ref="R1223:S1223" si="331">Q1216</f>
        <v>0</v>
      </c>
      <c r="S1223" s="6">
        <f t="shared" si="331"/>
        <v>0</v>
      </c>
      <c r="T1223" s="105" t="e">
        <f t="shared" ref="Q1223:T1224" si="332">T1222-T1221</f>
        <v>#REF!</v>
      </c>
    </row>
    <row r="1224" spans="3:20" hidden="1" outlineLevel="1" x14ac:dyDescent="0.25">
      <c r="H1224" s="78"/>
      <c r="I1224" s="78"/>
      <c r="J1224" s="78"/>
      <c r="K1224" s="78"/>
      <c r="L1224" s="78"/>
      <c r="M1224" s="78"/>
      <c r="N1224" s="78"/>
      <c r="O1224" s="78"/>
      <c r="P1224" s="78"/>
      <c r="Q1224" s="105">
        <f t="shared" si="332"/>
        <v>517483.20999999996</v>
      </c>
      <c r="R1224" s="105">
        <f t="shared" si="332"/>
        <v>0</v>
      </c>
      <c r="S1224" s="105">
        <f t="shared" si="332"/>
        <v>0</v>
      </c>
    </row>
    <row r="1225" spans="3:20" collapsed="1" x14ac:dyDescent="0.25"/>
    <row r="1226" spans="3:20" x14ac:dyDescent="0.25">
      <c r="C1226" s="74" t="s">
        <v>746</v>
      </c>
    </row>
    <row r="1227" spans="3:20" ht="15.75" thickBot="1" x14ac:dyDescent="0.3">
      <c r="C1227" s="74"/>
    </row>
    <row r="1228" spans="3:20" ht="30.75" thickBot="1" x14ac:dyDescent="0.3">
      <c r="C1228" s="161" t="s">
        <v>1</v>
      </c>
      <c r="D1228" s="162" t="s">
        <v>2</v>
      </c>
      <c r="E1228" s="162" t="s">
        <v>3</v>
      </c>
      <c r="F1228" s="162" t="s">
        <v>4</v>
      </c>
      <c r="G1228" s="162" t="s">
        <v>6</v>
      </c>
      <c r="H1228" s="181" t="s">
        <v>463</v>
      </c>
      <c r="I1228" s="181" t="s">
        <v>464</v>
      </c>
      <c r="J1228" s="181" t="s">
        <v>465</v>
      </c>
      <c r="K1228" s="181" t="s">
        <v>466</v>
      </c>
      <c r="L1228" s="181" t="s">
        <v>467</v>
      </c>
      <c r="M1228" s="181" t="s">
        <v>10</v>
      </c>
      <c r="N1228" s="181" t="s">
        <v>7</v>
      </c>
      <c r="O1228" s="181" t="s">
        <v>8</v>
      </c>
      <c r="P1228" s="182" t="s">
        <v>9</v>
      </c>
    </row>
    <row r="1229" spans="3:20" x14ac:dyDescent="0.25">
      <c r="C1229" s="219" t="s">
        <v>457</v>
      </c>
      <c r="D1229" s="39" t="s">
        <v>458</v>
      </c>
      <c r="E1229" s="39"/>
      <c r="F1229" s="39"/>
      <c r="G1229" s="39" t="s">
        <v>747</v>
      </c>
      <c r="H1229" s="42">
        <v>6638.39</v>
      </c>
      <c r="I1229" s="42">
        <v>0</v>
      </c>
      <c r="J1229" s="42">
        <v>0</v>
      </c>
      <c r="K1229" s="42"/>
      <c r="L1229" s="42">
        <v>0</v>
      </c>
      <c r="M1229" s="42"/>
      <c r="N1229" s="42">
        <v>0</v>
      </c>
      <c r="O1229" s="42">
        <v>0</v>
      </c>
      <c r="P1229" s="203">
        <v>0</v>
      </c>
    </row>
    <row r="1230" spans="3:20" x14ac:dyDescent="0.25">
      <c r="C1230" s="219" t="s">
        <v>457</v>
      </c>
      <c r="D1230" s="39" t="s">
        <v>458</v>
      </c>
      <c r="E1230" s="39" t="s">
        <v>17</v>
      </c>
      <c r="F1230" s="39" t="s">
        <v>18</v>
      </c>
      <c r="G1230" s="39" t="s">
        <v>460</v>
      </c>
      <c r="H1230" s="42">
        <v>11056.55</v>
      </c>
      <c r="I1230" s="42">
        <v>11503.09</v>
      </c>
      <c r="J1230" s="42">
        <v>12120</v>
      </c>
      <c r="K1230" s="42">
        <v>12120</v>
      </c>
      <c r="L1230" s="42">
        <v>12636.7</v>
      </c>
      <c r="M1230" s="42">
        <v>10098.26</v>
      </c>
      <c r="N1230" s="42">
        <v>12636.7</v>
      </c>
      <c r="O1230" s="42">
        <f>1133.83+1105.14+1150.34+1096.63+1067.54+1113.54+1134.71+1054.62+1075.99+1148.8+1067.6+1063.56</f>
        <v>13212.3</v>
      </c>
      <c r="P1230" s="203">
        <v>12646.44</v>
      </c>
    </row>
    <row r="1231" spans="3:20" x14ac:dyDescent="0.25">
      <c r="C1231" s="219" t="s">
        <v>457</v>
      </c>
      <c r="D1231" s="39" t="s">
        <v>458</v>
      </c>
      <c r="E1231" s="39" t="s">
        <v>17</v>
      </c>
      <c r="F1231" s="39" t="s">
        <v>18</v>
      </c>
      <c r="G1231" s="39" t="s">
        <v>461</v>
      </c>
      <c r="H1231" s="42">
        <v>9208.36</v>
      </c>
      <c r="I1231" s="42">
        <v>9287.74</v>
      </c>
      <c r="J1231" s="42">
        <v>9405</v>
      </c>
      <c r="K1231" s="42">
        <v>9405</v>
      </c>
      <c r="L1231" s="42">
        <v>9492.7099999999991</v>
      </c>
      <c r="M1231" s="42">
        <v>7840.03</v>
      </c>
      <c r="N1231" s="42">
        <f>790.32+770.01+805.55+792.29+792.95+786.7+794.27+774.35+795.57+803.05+783.32+804.33</f>
        <v>9492.7100000000009</v>
      </c>
      <c r="O1231" s="42">
        <f>791.47+792.16+812.96+793.54+787.57+808.18+802.21+789.7+796.97+810.75+798.36+805.55</f>
        <v>9589.42</v>
      </c>
      <c r="P1231" s="203">
        <f>786.77+813.33+820.43+776.16+828.07+809.57+810.25+804.59+798.99+805.98+819.19+813.61</f>
        <v>9686.94</v>
      </c>
    </row>
    <row r="1232" spans="3:20" ht="15.75" thickBot="1" x14ac:dyDescent="0.3">
      <c r="C1232" s="231" t="s">
        <v>457</v>
      </c>
      <c r="D1232" s="45" t="s">
        <v>458</v>
      </c>
      <c r="E1232" s="45" t="s">
        <v>17</v>
      </c>
      <c r="F1232" s="45" t="s">
        <v>256</v>
      </c>
      <c r="G1232" s="45" t="s">
        <v>462</v>
      </c>
      <c r="H1232" s="64">
        <v>39999.96</v>
      </c>
      <c r="I1232" s="64">
        <v>39999.96</v>
      </c>
      <c r="J1232" s="64">
        <v>40000</v>
      </c>
      <c r="K1232" s="64">
        <v>40000</v>
      </c>
      <c r="L1232" s="64">
        <v>40000</v>
      </c>
      <c r="M1232" s="64">
        <v>29999.97</v>
      </c>
      <c r="N1232" s="64">
        <v>16667</v>
      </c>
      <c r="O1232" s="64">
        <v>0</v>
      </c>
      <c r="P1232" s="205">
        <v>0</v>
      </c>
    </row>
    <row r="1233" spans="3:16" ht="15.75" thickBot="1" x14ac:dyDescent="0.3">
      <c r="C1233" s="232"/>
      <c r="D1233" s="206">
        <v>600</v>
      </c>
      <c r="E1233" s="207"/>
      <c r="F1233" s="207"/>
      <c r="G1233" s="208" t="s">
        <v>617</v>
      </c>
      <c r="H1233" s="209">
        <f>SUM(H1229:H1232)</f>
        <v>66903.259999999995</v>
      </c>
      <c r="I1233" s="209">
        <f t="shared" ref="I1233:P1233" si="333">SUM(I1230:I1232)</f>
        <v>60790.79</v>
      </c>
      <c r="J1233" s="209">
        <f t="shared" si="333"/>
        <v>61525</v>
      </c>
      <c r="K1233" s="209">
        <f t="shared" si="333"/>
        <v>61525</v>
      </c>
      <c r="L1233" s="209">
        <f t="shared" si="333"/>
        <v>62129.41</v>
      </c>
      <c r="M1233" s="209">
        <f t="shared" si="333"/>
        <v>47938.26</v>
      </c>
      <c r="N1233" s="209">
        <f t="shared" si="333"/>
        <v>38796.410000000003</v>
      </c>
      <c r="O1233" s="209">
        <f t="shared" si="333"/>
        <v>22801.72</v>
      </c>
      <c r="P1233" s="210">
        <f t="shared" si="333"/>
        <v>22333.38</v>
      </c>
    </row>
    <row r="1234" spans="3:16" x14ac:dyDescent="0.25">
      <c r="C1234" s="74"/>
    </row>
    <row r="1235" spans="3:16" x14ac:dyDescent="0.25">
      <c r="C1235" s="74"/>
    </row>
    <row r="1237" spans="3:16" x14ac:dyDescent="0.25">
      <c r="N1237" s="78"/>
    </row>
    <row r="1238" spans="3:16" x14ac:dyDescent="0.25">
      <c r="N1238" s="78"/>
    </row>
  </sheetData>
  <mergeCells count="21">
    <mergeCell ref="C336:C368"/>
    <mergeCell ref="C730:C745"/>
    <mergeCell ref="C256:C283"/>
    <mergeCell ref="A400:B400"/>
    <mergeCell ref="C498:C532"/>
    <mergeCell ref="C288:C329"/>
    <mergeCell ref="A368:B368"/>
    <mergeCell ref="C1010:C1103"/>
    <mergeCell ref="C1104:G1104"/>
    <mergeCell ref="C414:C493"/>
    <mergeCell ref="C1137:C1145"/>
    <mergeCell ref="C877:C917"/>
    <mergeCell ref="C927:C958"/>
    <mergeCell ref="C638:C725"/>
    <mergeCell ref="C1205:C1213"/>
    <mergeCell ref="C1214:G1214"/>
    <mergeCell ref="C1147:C1158"/>
    <mergeCell ref="D1147:D1157"/>
    <mergeCell ref="C1182:C1191"/>
    <mergeCell ref="D1182:D1190"/>
    <mergeCell ref="C1193:C1203"/>
  </mergeCells>
  <pageMargins left="0.31496062992125984" right="0.31496062992125984" top="0.59055118110236227" bottom="0.39370078740157483" header="0.31496062992125984" footer="0.31496062992125984"/>
  <pageSetup paperSize="9" scale="96" fitToHeight="0" orientation="landscape" r:id="rId1"/>
  <headerFooter>
    <oddHeader>&amp;C&amp;"-,Tučné"Bežné výdavky a finančné operácie podľa funkčnej klasifikácie&amp;RPríloha č. 3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topLeftCell="C1" workbookViewId="0">
      <selection activeCell="C1" sqref="C1:P6"/>
    </sheetView>
  </sheetViews>
  <sheetFormatPr defaultRowHeight="15" outlineLevelCol="1" x14ac:dyDescent="0.25"/>
  <cols>
    <col min="1" max="2" width="0" hidden="1" customWidth="1" outlineLevel="1"/>
    <col min="3" max="3" width="9.140625" collapsed="1"/>
    <col min="4" max="4" width="10.5703125" customWidth="1"/>
    <col min="5" max="6" width="0" hidden="1" customWidth="1" outlineLevel="1"/>
    <col min="7" max="7" width="34.140625" customWidth="1" collapsed="1"/>
    <col min="8" max="16" width="12.28515625" customWidth="1"/>
  </cols>
  <sheetData>
    <row r="1" spans="1:21" ht="30.75" thickBot="1" x14ac:dyDescent="0.3">
      <c r="A1" s="159" t="s">
        <v>0</v>
      </c>
      <c r="B1" s="160" t="s">
        <v>5</v>
      </c>
      <c r="C1" s="161" t="s">
        <v>1</v>
      </c>
      <c r="D1" s="162" t="s">
        <v>2</v>
      </c>
      <c r="E1" s="162" t="s">
        <v>3</v>
      </c>
      <c r="F1" s="162" t="s">
        <v>4</v>
      </c>
      <c r="G1" s="162" t="s">
        <v>6</v>
      </c>
      <c r="H1" s="181" t="s">
        <v>463</v>
      </c>
      <c r="I1" s="181" t="s">
        <v>464</v>
      </c>
      <c r="J1" s="181" t="s">
        <v>465</v>
      </c>
      <c r="K1" s="181" t="s">
        <v>466</v>
      </c>
      <c r="L1" s="181" t="s">
        <v>467</v>
      </c>
      <c r="M1" s="181" t="s">
        <v>10</v>
      </c>
      <c r="N1" s="181" t="s">
        <v>7</v>
      </c>
      <c r="O1" s="181" t="s">
        <v>8</v>
      </c>
      <c r="P1" s="182" t="s">
        <v>9</v>
      </c>
    </row>
    <row r="2" spans="1:21" x14ac:dyDescent="0.25">
      <c r="A2" s="39" t="s">
        <v>11</v>
      </c>
      <c r="B2" s="46" t="s">
        <v>529</v>
      </c>
      <c r="C2" s="200" t="s">
        <v>457</v>
      </c>
      <c r="D2" s="40" t="s">
        <v>458</v>
      </c>
      <c r="E2" s="40" t="s">
        <v>17</v>
      </c>
      <c r="F2" s="40" t="s">
        <v>18</v>
      </c>
      <c r="G2" s="40" t="s">
        <v>459</v>
      </c>
      <c r="H2" s="41">
        <v>66903.259999999995</v>
      </c>
      <c r="I2" s="41">
        <v>60790.79</v>
      </c>
      <c r="J2" s="41">
        <v>0</v>
      </c>
      <c r="K2" s="41">
        <v>0</v>
      </c>
      <c r="L2" s="41">
        <v>0</v>
      </c>
      <c r="M2" s="41">
        <v>0</v>
      </c>
      <c r="N2" s="41">
        <v>0</v>
      </c>
      <c r="O2" s="41">
        <v>0</v>
      </c>
      <c r="P2" s="201">
        <v>0</v>
      </c>
      <c r="Q2" s="36"/>
      <c r="R2" s="36"/>
      <c r="S2" s="36"/>
      <c r="T2" s="36"/>
      <c r="U2" s="36"/>
    </row>
    <row r="3" spans="1:21" x14ac:dyDescent="0.25">
      <c r="A3" s="39" t="s">
        <v>11</v>
      </c>
      <c r="B3" s="46" t="s">
        <v>537</v>
      </c>
      <c r="C3" s="202" t="s">
        <v>457</v>
      </c>
      <c r="D3" s="39" t="s">
        <v>458</v>
      </c>
      <c r="E3" s="39" t="s">
        <v>17</v>
      </c>
      <c r="F3" s="39" t="s">
        <v>18</v>
      </c>
      <c r="G3" s="39" t="s">
        <v>460</v>
      </c>
      <c r="H3" s="42">
        <v>0</v>
      </c>
      <c r="I3" s="42">
        <v>0</v>
      </c>
      <c r="J3" s="42">
        <v>12120</v>
      </c>
      <c r="K3" s="42">
        <v>12120</v>
      </c>
      <c r="L3" s="42">
        <v>12636.7</v>
      </c>
      <c r="M3" s="42">
        <v>10098.26</v>
      </c>
      <c r="N3" s="42">
        <v>12636.7</v>
      </c>
      <c r="O3" s="42">
        <f>1133.83+1105.14+1150.34+1096.63+1067.54+1113.54+1134.71+1054.62+1075.99+1148.8+1067.6+1063.56</f>
        <v>13212.3</v>
      </c>
      <c r="P3" s="203">
        <v>12646.44</v>
      </c>
      <c r="Q3" s="36"/>
      <c r="R3" s="36"/>
      <c r="S3" s="36"/>
      <c r="T3" s="36"/>
      <c r="U3" s="36"/>
    </row>
    <row r="4" spans="1:21" x14ac:dyDescent="0.25">
      <c r="A4" s="39" t="s">
        <v>11</v>
      </c>
      <c r="B4" s="46" t="s">
        <v>537</v>
      </c>
      <c r="C4" s="202" t="s">
        <v>457</v>
      </c>
      <c r="D4" s="39" t="s">
        <v>458</v>
      </c>
      <c r="E4" s="39" t="s">
        <v>17</v>
      </c>
      <c r="F4" s="39" t="s">
        <v>18</v>
      </c>
      <c r="G4" s="39" t="s">
        <v>461</v>
      </c>
      <c r="H4" s="42">
        <v>0</v>
      </c>
      <c r="I4" s="42">
        <v>0</v>
      </c>
      <c r="J4" s="42">
        <v>9405</v>
      </c>
      <c r="K4" s="42">
        <v>9405</v>
      </c>
      <c r="L4" s="42">
        <v>9492.7099999999991</v>
      </c>
      <c r="M4" s="42">
        <v>7840.03</v>
      </c>
      <c r="N4" s="42">
        <f>790.32+770.01+805.55+792.29+792.95+786.7+794.27+774.35+795.57+803.05+783.32+804.33</f>
        <v>9492.7100000000009</v>
      </c>
      <c r="O4" s="42">
        <f>791.47+792.16+812.96+793.54+787.57+808.18+802.21+789.7+796.97+810.75+798.36+805.55</f>
        <v>9589.42</v>
      </c>
      <c r="P4" s="203">
        <f>786.77+813.33+820.43+776.16+828.07+809.57+810.25+804.59+798.99+805.98+819.19+813.61</f>
        <v>9686.94</v>
      </c>
      <c r="Q4" s="36"/>
      <c r="R4" s="36"/>
      <c r="S4" s="36"/>
      <c r="T4" s="36"/>
      <c r="U4" s="36"/>
    </row>
    <row r="5" spans="1:21" ht="15.75" thickBot="1" x14ac:dyDescent="0.3">
      <c r="A5" s="39" t="s">
        <v>11</v>
      </c>
      <c r="B5" s="46" t="s">
        <v>514</v>
      </c>
      <c r="C5" s="204" t="s">
        <v>457</v>
      </c>
      <c r="D5" s="45" t="s">
        <v>458</v>
      </c>
      <c r="E5" s="45" t="s">
        <v>17</v>
      </c>
      <c r="F5" s="45" t="s">
        <v>256</v>
      </c>
      <c r="G5" s="45" t="s">
        <v>462</v>
      </c>
      <c r="H5" s="64">
        <v>0</v>
      </c>
      <c r="I5" s="64">
        <v>0</v>
      </c>
      <c r="J5" s="64">
        <v>40000</v>
      </c>
      <c r="K5" s="64">
        <v>40000</v>
      </c>
      <c r="L5" s="64">
        <v>40000</v>
      </c>
      <c r="M5" s="64">
        <v>29999.97</v>
      </c>
      <c r="N5" s="64">
        <v>16667</v>
      </c>
      <c r="O5" s="64">
        <v>0</v>
      </c>
      <c r="P5" s="205">
        <v>0</v>
      </c>
      <c r="Q5" s="36"/>
      <c r="R5" s="36"/>
      <c r="S5" s="36"/>
      <c r="T5" s="36"/>
      <c r="U5" s="36"/>
    </row>
    <row r="6" spans="1:21" ht="23.25" customHeight="1" thickBot="1" x14ac:dyDescent="0.3">
      <c r="A6" s="5" t="s">
        <v>604</v>
      </c>
      <c r="B6" s="184"/>
      <c r="C6" s="185"/>
      <c r="D6" s="206">
        <v>600</v>
      </c>
      <c r="E6" s="207"/>
      <c r="F6" s="207"/>
      <c r="G6" s="208" t="s">
        <v>617</v>
      </c>
      <c r="H6" s="209">
        <f>SUM(H2:H5)</f>
        <v>66903.259999999995</v>
      </c>
      <c r="I6" s="209">
        <f t="shared" ref="I6:P6" si="0">SUM(I2:I5)</f>
        <v>60790.79</v>
      </c>
      <c r="J6" s="209">
        <f t="shared" si="0"/>
        <v>61525</v>
      </c>
      <c r="K6" s="209">
        <f t="shared" si="0"/>
        <v>61525</v>
      </c>
      <c r="L6" s="209">
        <f t="shared" si="0"/>
        <v>62129.41</v>
      </c>
      <c r="M6" s="209">
        <f t="shared" si="0"/>
        <v>47938.26</v>
      </c>
      <c r="N6" s="209">
        <f t="shared" si="0"/>
        <v>38796.410000000003</v>
      </c>
      <c r="O6" s="209">
        <f t="shared" si="0"/>
        <v>22801.72</v>
      </c>
      <c r="P6" s="210">
        <f t="shared" si="0"/>
        <v>22333.38</v>
      </c>
      <c r="Q6" s="36"/>
      <c r="R6" s="36"/>
      <c r="S6" s="36"/>
      <c r="T6" s="36"/>
      <c r="U6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Rozpočet podľa FK</vt:lpstr>
      <vt:lpstr>FO</vt:lpstr>
      <vt:lpstr>'Rozpočet podľa FK'!Názvy_tlače</vt:lpstr>
    </vt:vector>
  </TitlesOfParts>
  <Company>ATC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Gombalová</dc:creator>
  <cp:lastModifiedBy>Iveta Gombalová</cp:lastModifiedBy>
  <cp:lastPrinted>2019-12-13T10:43:23Z</cp:lastPrinted>
  <dcterms:created xsi:type="dcterms:W3CDTF">2019-10-28T10:30:46Z</dcterms:created>
  <dcterms:modified xsi:type="dcterms:W3CDTF">2019-12-13T10:43:42Z</dcterms:modified>
</cp:coreProperties>
</file>